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Cover Page" sheetId="1" r:id="rId1"/>
    <sheet name="COP Summary" sheetId="2" r:id="rId2"/>
    <sheet name="Profile &amp; Assumptions" sheetId="3" r:id="rId3"/>
    <sheet name="Details" sheetId="4" r:id="rId4"/>
    <sheet name="Prepared by" sheetId="5" r:id="rId5"/>
  </sheets>
  <definedNames/>
  <calcPr fullCalcOnLoad="1"/>
</workbook>
</file>

<file path=xl/sharedStrings.xml><?xml version="1.0" encoding="utf-8"?>
<sst xmlns="http://schemas.openxmlformats.org/spreadsheetml/2006/main" count="296" uniqueCount="125">
  <si>
    <t>A.</t>
  </si>
  <si>
    <t>Operating Costs</t>
  </si>
  <si>
    <t>Fuel</t>
  </si>
  <si>
    <t>Utilities</t>
  </si>
  <si>
    <t>Repairs</t>
  </si>
  <si>
    <t>Insurance</t>
  </si>
  <si>
    <t>Decontamination</t>
  </si>
  <si>
    <t>Cocoon Testing</t>
  </si>
  <si>
    <t>Operating Interest</t>
  </si>
  <si>
    <t>B.</t>
  </si>
  <si>
    <t>Fixed Costs</t>
  </si>
  <si>
    <t>Depreciation</t>
  </si>
  <si>
    <t>Investment</t>
  </si>
  <si>
    <t xml:space="preserve">  Buildings</t>
  </si>
  <si>
    <t xml:space="preserve">  Machinery &amp; Equipment</t>
  </si>
  <si>
    <t xml:space="preserve">  Bees</t>
  </si>
  <si>
    <t>Labour Costs</t>
  </si>
  <si>
    <t>C.</t>
  </si>
  <si>
    <t>1.01</t>
  </si>
  <si>
    <t>₌</t>
  </si>
  <si>
    <t>÷</t>
  </si>
  <si>
    <t>1.02</t>
  </si>
  <si>
    <t>annual cost</t>
  </si>
  <si>
    <t>acres</t>
  </si>
  <si>
    <t>cost/acre</t>
  </si>
  <si>
    <t>annual hydro</t>
  </si>
  <si>
    <t>annual telephone</t>
  </si>
  <si>
    <t>total utilities</t>
  </si>
  <si>
    <t>+</t>
  </si>
  <si>
    <t>equipment cost</t>
  </si>
  <si>
    <t>% of estimated cost</t>
  </si>
  <si>
    <t>equipment repair costs</t>
  </si>
  <si>
    <t>truck repairs</t>
  </si>
  <si>
    <t>building repairs</t>
  </si>
  <si>
    <t>x</t>
  </si>
  <si>
    <t>building &amp; equipment value</t>
  </si>
  <si>
    <t>insurance rate/$100</t>
  </si>
  <si>
    <t>bee value</t>
  </si>
  <si>
    <t>vehicle insurance</t>
  </si>
  <si>
    <t>Total</t>
  </si>
  <si>
    <t>total cost</t>
  </si>
  <si>
    <t>1.03</t>
  </si>
  <si>
    <t>1.04</t>
  </si>
  <si>
    <t>1.05</t>
  </si>
  <si>
    <t>1.06</t>
  </si>
  <si>
    <t>1.07</t>
  </si>
  <si>
    <t>annual operating costs</t>
  </si>
  <si>
    <t>% operational interest</t>
  </si>
  <si>
    <t>2.01</t>
  </si>
  <si>
    <t>2</t>
  </si>
  <si>
    <t>original value</t>
  </si>
  <si>
    <t>salvage value</t>
  </si>
  <si>
    <t>years of useful life</t>
  </si>
  <si>
    <t>-</t>
  </si>
  <si>
    <t>2.02</t>
  </si>
  <si>
    <t xml:space="preserve">    3/4 Ton Truck</t>
  </si>
  <si>
    <t>years useful life</t>
  </si>
  <si>
    <t xml:space="preserve">    Shelters &amp; Nests</t>
  </si>
  <si>
    <t xml:space="preserve">    Flatdeck Trailer</t>
  </si>
  <si>
    <t xml:space="preserve">    Incubation &amp; Fumigation Equipment</t>
  </si>
  <si>
    <t>3</t>
  </si>
  <si>
    <t>3.01</t>
  </si>
  <si>
    <t>bees per acre</t>
  </si>
  <si>
    <t>market value of bees</t>
  </si>
  <si>
    <t>% investment rate</t>
  </si>
  <si>
    <t>3.02</t>
  </si>
  <si>
    <t>hours/acre</t>
  </si>
  <si>
    <t>per hour</t>
  </si>
  <si>
    <t>$/gallon</t>
  </si>
  <si>
    <t>Stocking rate (gallons/acre)</t>
  </si>
  <si>
    <t>Assumptions</t>
  </si>
  <si>
    <t>Prepared by</t>
  </si>
  <si>
    <t>David Ostermann</t>
  </si>
  <si>
    <t>Total cost (per gallon of bees)</t>
  </si>
  <si>
    <t>Guidelines For Estimating</t>
  </si>
  <si>
    <t>Date:  June 2012</t>
  </si>
  <si>
    <t>2012 Guidelines</t>
  </si>
  <si>
    <t>Dollars per acre</t>
  </si>
  <si>
    <t>Interest on operating</t>
  </si>
  <si>
    <t>Total Operating</t>
  </si>
  <si>
    <t>Investment Costs</t>
  </si>
  <si>
    <t>Depreciation Costs</t>
  </si>
  <si>
    <t xml:space="preserve">  Building depreciation</t>
  </si>
  <si>
    <t xml:space="preserve">  Machinery &amp; Equipment depreciation</t>
  </si>
  <si>
    <t xml:space="preserve">  Bee investment</t>
  </si>
  <si>
    <t xml:space="preserve">  Building investment</t>
  </si>
  <si>
    <t xml:space="preserve">  Machinery &amp; Equipment investment</t>
  </si>
  <si>
    <t>Total Fixed</t>
  </si>
  <si>
    <t>Total Operating &amp; Fixed</t>
  </si>
  <si>
    <t>Total Costs</t>
  </si>
  <si>
    <t>Breakeven Analysis</t>
  </si>
  <si>
    <t>2.  Custom pollinator receives 35% crop share.</t>
  </si>
  <si>
    <t>3.  Surplus bees are sold to reduce operating costs.</t>
  </si>
  <si>
    <t>Operation Profile</t>
  </si>
  <si>
    <t>Number of Acres</t>
  </si>
  <si>
    <t>Market Value of Bees</t>
  </si>
  <si>
    <t>Average Number of Bees per Acre</t>
  </si>
  <si>
    <t>Seed Yield per Acre</t>
  </si>
  <si>
    <t>Custom Pollinator Share</t>
  </si>
  <si>
    <t>Custom Pollinator Share - Total</t>
  </si>
  <si>
    <t>Increase in Bee Stock</t>
  </si>
  <si>
    <t>per bee</t>
  </si>
  <si>
    <t>lbs</t>
  </si>
  <si>
    <t>%</t>
  </si>
  <si>
    <t>Grant Palmer</t>
  </si>
  <si>
    <t>Policy Economist</t>
  </si>
  <si>
    <t>Janine Duguid</t>
  </si>
  <si>
    <t>Business Development Specialist</t>
  </si>
  <si>
    <t>June 2012</t>
  </si>
  <si>
    <t>For further information, contact your MAFRI office.</t>
  </si>
  <si>
    <t>Pollination Costs and Cost of Production of Leafcutter Bees - Details</t>
  </si>
  <si>
    <t>This guide is designed to provide planning information and a format for calculating the costs of producing alfalfa leafcutting bees in Manitoba.  These figures provide an economic evaluation of leafcutter bees and the estimated yields required to cover all costs of production including operating costs, labour, investment, and depreciation.  Management costs have not been accounted for in this budget.</t>
  </si>
  <si>
    <t>Leafcutting Bee Costs - 2012</t>
  </si>
  <si>
    <t>This guide was developed from the information provided by alfalfa seed producers from different regions of Manitoba who have had years of experience in managing leafcutting bee operations.</t>
  </si>
  <si>
    <t>A number of assumptions are defined in this document.  For those not familiar with this enterprise, default data may be used.  Each assumption must be examined and individual adjustments made where necessary to reflect new situations.  This budget may be adjusted by putting in your own figures.  As a producer, you are encouraged to calculate cost of production for your own leafcutting bee enterprise.   On each farm, costs and yields differ due to agronomic practises and climatic conditions.  And excel spreadsheet can be downloaded from the Manitoba Agriculture, Food and Rural initiatives website.</t>
  </si>
  <si>
    <r>
      <rPr>
        <b/>
        <sz val="12"/>
        <rFont val="Arial"/>
        <family val="2"/>
      </rPr>
      <t xml:space="preserve">Disclaimer: </t>
    </r>
    <r>
      <rPr>
        <sz val="12"/>
        <rFont val="Arial"/>
        <family val="2"/>
      </rPr>
      <t xml:space="preserve"> This information is only a guide and is not intended as an in depth study of the cost of production of the leafcutting bee industry.  Interpretation and utilization of this information is the responsibility of the user.  If you require assistance with developing your individual budget, please contact your local Manitoba Agriculture, Food, and Rural Initiatives office.</t>
    </r>
  </si>
  <si>
    <t>Leafcutting Bees Production Costs</t>
  </si>
  <si>
    <t>1.  This budget estimates the cost of leafcutting bee production (dollars per gallon of bees) from custom pollinating alfalfa.</t>
  </si>
  <si>
    <t>Dollars per gallon</t>
  </si>
  <si>
    <t>gallons</t>
  </si>
  <si>
    <t>bees</t>
  </si>
  <si>
    <t>Bee Return Rate</t>
  </si>
  <si>
    <t>Fixed + Operating Costs</t>
  </si>
  <si>
    <t>Labour + Fixed + Operating Costs</t>
  </si>
  <si>
    <t>per gallon</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</si>
</sst>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_);[Red]\(0.00\)"/>
    <numFmt numFmtId="174" formatCode="&quot;$&quot;#,##0.000"/>
    <numFmt numFmtId="175" formatCode="[$-1009]mmmm\-dd\-yy"/>
    <numFmt numFmtId="176" formatCode="[$-409]h:mm:ss\ AM/PM"/>
    <numFmt numFmtId="177" formatCode="&quot;$&quot;#,##0.000;[Red]\-&quot;$&quot;#,##0.000"/>
    <numFmt numFmtId="178" formatCode="&quot;$&quot;#,##0.0000;[Red]\-&quot;$&quot;#,##0.0000"/>
    <numFmt numFmtId="179" formatCode="&quot;$&quot;#,##0.0000"/>
    <numFmt numFmtId="180" formatCode="_(* #,##0.0_);_(* \(#,##0.0\);_(* &quot;-&quot;??_);_(@_)"/>
    <numFmt numFmtId="181" formatCode="_(* #,##0_);_(* \(#,##0\);_(* &quot;-&quot;??_);_(@_)"/>
    <numFmt numFmtId="182" formatCode="0.00000000"/>
    <numFmt numFmtId="183" formatCode="0.0000000"/>
    <numFmt numFmtId="184" formatCode="0.000000"/>
    <numFmt numFmtId="185" formatCode="0.00000"/>
    <numFmt numFmtId="186" formatCode="0.0000"/>
    <numFmt numFmtId="187" formatCode="0.000"/>
  </numFmts>
  <fonts count="46">
    <font>
      <sz val="10"/>
      <name val="Arial"/>
      <family val="0"/>
    </font>
    <font>
      <sz val="8"/>
      <name val="Arial"/>
      <family val="0"/>
    </font>
    <font>
      <sz val="10"/>
      <name val="Calibri"/>
      <family val="2"/>
    </font>
    <font>
      <b/>
      <sz val="10"/>
      <name val="Arial"/>
      <family val="2"/>
    </font>
    <font>
      <u val="single"/>
      <sz val="10"/>
      <color indexed="12"/>
      <name val="Arial"/>
      <family val="0"/>
    </font>
    <font>
      <u val="single"/>
      <sz val="10"/>
      <color indexed="36"/>
      <name val="Arial"/>
      <family val="0"/>
    </font>
    <font>
      <b/>
      <sz val="10"/>
      <color indexed="10"/>
      <name val="Arial"/>
      <family val="2"/>
    </font>
    <font>
      <b/>
      <sz val="18"/>
      <name val="Arial"/>
      <family val="2"/>
    </font>
    <font>
      <b/>
      <sz val="12"/>
      <name val="Arial"/>
      <family val="2"/>
    </font>
    <font>
      <b/>
      <sz val="14"/>
      <name val="Arial"/>
      <family val="2"/>
    </font>
    <font>
      <b/>
      <sz val="16"/>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Alignment="1">
      <alignment/>
    </xf>
    <xf numFmtId="167" fontId="0" fillId="0" borderId="0" xfId="0" applyNumberFormat="1" applyAlignment="1">
      <alignment/>
    </xf>
    <xf numFmtId="172" fontId="0" fillId="0" borderId="0" xfId="0" applyNumberFormat="1" applyAlignment="1">
      <alignment/>
    </xf>
    <xf numFmtId="10" fontId="0" fillId="0" borderId="0" xfId="0" applyNumberFormat="1" applyAlignment="1">
      <alignment/>
    </xf>
    <xf numFmtId="0" fontId="0" fillId="0" borderId="0" xfId="0" applyAlignment="1">
      <alignment horizontal="right"/>
    </xf>
    <xf numFmtId="0" fontId="0" fillId="0" borderId="0" xfId="0" applyAlignment="1">
      <alignment horizontal="center"/>
    </xf>
    <xf numFmtId="49" fontId="0" fillId="0" borderId="0" xfId="0" applyNumberFormat="1" applyAlignment="1">
      <alignment/>
    </xf>
    <xf numFmtId="49"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0" fontId="0" fillId="0" borderId="10" xfId="0" applyBorder="1" applyAlignment="1">
      <alignment/>
    </xf>
    <xf numFmtId="10" fontId="0" fillId="0" borderId="10" xfId="0" applyNumberFormat="1" applyBorder="1" applyAlignment="1">
      <alignment/>
    </xf>
    <xf numFmtId="172" fontId="0" fillId="0" borderId="0" xfId="0" applyNumberFormat="1" applyBorder="1" applyAlignment="1">
      <alignment/>
    </xf>
    <xf numFmtId="172" fontId="0" fillId="0" borderId="10" xfId="0" applyNumberFormat="1" applyBorder="1" applyAlignment="1">
      <alignment/>
    </xf>
    <xf numFmtId="172" fontId="3" fillId="0" borderId="0" xfId="0" applyNumberFormat="1" applyFont="1" applyAlignment="1">
      <alignment/>
    </xf>
    <xf numFmtId="0" fontId="3" fillId="0" borderId="0" xfId="0" applyFont="1" applyAlignment="1">
      <alignment/>
    </xf>
    <xf numFmtId="172" fontId="3" fillId="0" borderId="0" xfId="0" applyNumberFormat="1" applyFont="1" applyBorder="1" applyAlignment="1">
      <alignment/>
    </xf>
    <xf numFmtId="2" fontId="0" fillId="0" borderId="0" xfId="0" applyNumberFormat="1" applyAlignment="1">
      <alignment/>
    </xf>
    <xf numFmtId="172" fontId="0" fillId="0" borderId="11" xfId="0" applyNumberFormat="1" applyBorder="1" applyAlignment="1">
      <alignment/>
    </xf>
    <xf numFmtId="0" fontId="0" fillId="0" borderId="0" xfId="0" applyFont="1" applyAlignment="1">
      <alignment horizontal="right"/>
    </xf>
    <xf numFmtId="172" fontId="0" fillId="0" borderId="0" xfId="0" applyNumberFormat="1" applyFont="1" applyAlignment="1">
      <alignment/>
    </xf>
    <xf numFmtId="172" fontId="3" fillId="0" borderId="11" xfId="0" applyNumberFormat="1" applyFont="1" applyBorder="1" applyAlignment="1">
      <alignment/>
    </xf>
    <xf numFmtId="172" fontId="0" fillId="0" borderId="11" xfId="0" applyNumberFormat="1" applyFont="1" applyBorder="1" applyAlignment="1">
      <alignment/>
    </xf>
    <xf numFmtId="0" fontId="0" fillId="0" borderId="12" xfId="0" applyFont="1" applyBorder="1" applyAlignment="1">
      <alignment/>
    </xf>
    <xf numFmtId="0" fontId="0" fillId="0" borderId="11" xfId="0" applyBorder="1" applyAlignment="1">
      <alignment/>
    </xf>
    <xf numFmtId="0" fontId="0" fillId="0" borderId="0" xfId="0" applyBorder="1" applyAlignment="1">
      <alignment/>
    </xf>
    <xf numFmtId="0" fontId="0" fillId="0" borderId="13" xfId="0" applyFont="1" applyBorder="1" applyAlignment="1">
      <alignment/>
    </xf>
    <xf numFmtId="0" fontId="0" fillId="0" borderId="14" xfId="0" applyFont="1" applyBorder="1" applyAlignment="1">
      <alignment/>
    </xf>
    <xf numFmtId="40" fontId="0" fillId="0" borderId="15" xfId="0" applyNumberFormat="1" applyBorder="1" applyAlignment="1">
      <alignment/>
    </xf>
    <xf numFmtId="4" fontId="0" fillId="0" borderId="0" xfId="0" applyNumberFormat="1" applyAlignment="1">
      <alignment/>
    </xf>
    <xf numFmtId="167" fontId="6" fillId="0" borderId="16" xfId="0" applyNumberFormat="1" applyFont="1" applyBorder="1" applyAlignment="1">
      <alignment/>
    </xf>
    <xf numFmtId="0" fontId="3" fillId="0" borderId="0" xfId="0" applyFont="1" applyAlignment="1">
      <alignment horizontal="center"/>
    </xf>
    <xf numFmtId="0" fontId="7" fillId="0" borderId="0" xfId="0" applyFont="1" applyAlignment="1">
      <alignment horizontal="center"/>
    </xf>
    <xf numFmtId="0" fontId="9" fillId="0" borderId="0" xfId="0" applyFont="1" applyAlignment="1">
      <alignment horizontal="right"/>
    </xf>
    <xf numFmtId="0" fontId="11" fillId="0" borderId="0" xfId="0" applyFont="1" applyAlignment="1">
      <alignment wrapText="1"/>
    </xf>
    <xf numFmtId="0" fontId="11" fillId="0" borderId="0" xfId="0" applyFont="1" applyAlignment="1">
      <alignment/>
    </xf>
    <xf numFmtId="0" fontId="11" fillId="0" borderId="0" xfId="0" applyFont="1" applyAlignment="1">
      <alignment vertical="top" wrapText="1"/>
    </xf>
    <xf numFmtId="167" fontId="3" fillId="0" borderId="11" xfId="0" applyNumberFormat="1" applyFont="1" applyBorder="1" applyAlignment="1">
      <alignment/>
    </xf>
    <xf numFmtId="167" fontId="3" fillId="0" borderId="0" xfId="0" applyNumberFormat="1" applyFont="1" applyBorder="1" applyAlignment="1">
      <alignment/>
    </xf>
    <xf numFmtId="0" fontId="10" fillId="0" borderId="0" xfId="0" applyFont="1" applyAlignment="1">
      <alignment/>
    </xf>
    <xf numFmtId="49" fontId="3" fillId="0" borderId="0" xfId="0" applyNumberFormat="1" applyFont="1" applyAlignment="1">
      <alignment/>
    </xf>
    <xf numFmtId="178" fontId="0" fillId="0" borderId="0" xfId="0" applyNumberFormat="1" applyAlignment="1">
      <alignment/>
    </xf>
    <xf numFmtId="179" fontId="0" fillId="0" borderId="0" xfId="0" applyNumberFormat="1" applyAlignment="1">
      <alignment/>
    </xf>
    <xf numFmtId="172" fontId="0" fillId="0" borderId="0" xfId="0" applyNumberFormat="1" applyFill="1" applyAlignment="1">
      <alignment/>
    </xf>
    <xf numFmtId="0" fontId="0" fillId="0" borderId="10" xfId="0" applyNumberFormat="1" applyFill="1" applyBorder="1" applyAlignment="1">
      <alignment/>
    </xf>
    <xf numFmtId="172" fontId="0" fillId="0" borderId="0" xfId="0" applyNumberFormat="1" applyFont="1" applyFill="1" applyAlignment="1">
      <alignment/>
    </xf>
    <xf numFmtId="0" fontId="0" fillId="0" borderId="0" xfId="0" applyFill="1" applyAlignment="1">
      <alignment/>
    </xf>
    <xf numFmtId="10" fontId="0" fillId="0" borderId="10" xfId="0" applyNumberFormat="1" applyFill="1" applyBorder="1" applyAlignment="1">
      <alignment/>
    </xf>
    <xf numFmtId="0" fontId="0" fillId="0" borderId="0" xfId="0" applyFont="1" applyFill="1" applyAlignment="1">
      <alignment/>
    </xf>
    <xf numFmtId="172" fontId="3" fillId="0" borderId="0" xfId="0" applyNumberFormat="1" applyFont="1" applyFill="1" applyAlignment="1">
      <alignment/>
    </xf>
    <xf numFmtId="0" fontId="0" fillId="0" borderId="0" xfId="0" applyFont="1" applyFill="1" applyAlignment="1">
      <alignment horizontal="right"/>
    </xf>
    <xf numFmtId="0" fontId="3" fillId="0" borderId="0" xfId="0" applyFont="1" applyAlignment="1">
      <alignment horizontal="right"/>
    </xf>
    <xf numFmtId="40" fontId="0" fillId="0" borderId="17" xfId="0" applyNumberFormat="1" applyBorder="1" applyAlignment="1">
      <alignment horizontal="right"/>
    </xf>
    <xf numFmtId="181" fontId="0" fillId="0" borderId="0" xfId="42" applyNumberFormat="1" applyFont="1" applyAlignment="1">
      <alignment/>
    </xf>
    <xf numFmtId="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3" sqref="A13"/>
    </sheetView>
  </sheetViews>
  <sheetFormatPr defaultColWidth="9.140625" defaultRowHeight="12.75"/>
  <cols>
    <col min="1" max="1" width="100.7109375" style="0" customWidth="1"/>
  </cols>
  <sheetData>
    <row r="1" s="33" customFormat="1" ht="23.25">
      <c r="A1" s="33" t="s">
        <v>74</v>
      </c>
    </row>
    <row r="2" s="33" customFormat="1" ht="23.25">
      <c r="A2" s="33" t="s">
        <v>112</v>
      </c>
    </row>
    <row r="4" ht="18">
      <c r="A4" s="34" t="s">
        <v>75</v>
      </c>
    </row>
    <row r="6" ht="75">
      <c r="A6" s="35" t="s">
        <v>111</v>
      </c>
    </row>
    <row r="7" ht="15">
      <c r="A7" s="36"/>
    </row>
    <row r="8" ht="33" customHeight="1">
      <c r="A8" s="37" t="s">
        <v>113</v>
      </c>
    </row>
    <row r="9" ht="15">
      <c r="A9" s="36"/>
    </row>
    <row r="10" ht="105">
      <c r="A10" s="35" t="s">
        <v>114</v>
      </c>
    </row>
    <row r="11" ht="15">
      <c r="A11" s="35"/>
    </row>
    <row r="12" ht="60.75">
      <c r="A12" s="35" t="s">
        <v>115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F34" sqref="F34"/>
    </sheetView>
  </sheetViews>
  <sheetFormatPr defaultColWidth="9.140625" defaultRowHeight="12.75"/>
  <cols>
    <col min="1" max="1" width="4.421875" style="0" customWidth="1"/>
    <col min="2" max="2" width="33.140625" style="0" bestFit="1" customWidth="1"/>
    <col min="3" max="3" width="2.8515625" style="0" customWidth="1"/>
    <col min="4" max="4" width="16.7109375" style="0" customWidth="1"/>
    <col min="5" max="5" width="4.8515625" style="5" customWidth="1"/>
    <col min="6" max="6" width="16.7109375" style="0" customWidth="1"/>
  </cols>
  <sheetData>
    <row r="1" spans="1:5" s="16" customFormat="1" ht="20.25">
      <c r="A1" s="40" t="s">
        <v>116</v>
      </c>
      <c r="E1" s="32"/>
    </row>
    <row r="2" ht="20.25">
      <c r="A2" s="40" t="s">
        <v>76</v>
      </c>
    </row>
    <row r="3" ht="12.75">
      <c r="D3" s="4"/>
    </row>
    <row r="4" spans="4:6" ht="12.75">
      <c r="D4" s="52" t="s">
        <v>77</v>
      </c>
      <c r="F4" s="52" t="s">
        <v>118</v>
      </c>
    </row>
    <row r="5" spans="1:5" s="16" customFormat="1" ht="12.75">
      <c r="A5" s="16" t="s">
        <v>0</v>
      </c>
      <c r="B5" s="16" t="s">
        <v>1</v>
      </c>
      <c r="E5" s="32"/>
    </row>
    <row r="6" spans="2:6" ht="12.75">
      <c r="B6" t="s">
        <v>2</v>
      </c>
      <c r="D6" s="2">
        <f>+Details!D7</f>
        <v>7.5</v>
      </c>
      <c r="F6" s="2">
        <f aca="true" t="shared" si="0" ref="F6:F13">D6/$F$32</f>
        <v>3</v>
      </c>
    </row>
    <row r="7" spans="2:6" ht="12.75">
      <c r="B7" t="s">
        <v>3</v>
      </c>
      <c r="D7" s="2">
        <f>+Details!D13</f>
        <v>15</v>
      </c>
      <c r="F7" s="2">
        <f t="shared" si="0"/>
        <v>6</v>
      </c>
    </row>
    <row r="8" spans="2:6" ht="12.75">
      <c r="B8" t="s">
        <v>4</v>
      </c>
      <c r="D8" s="2">
        <f>+Details!D21</f>
        <v>9.666666666666666</v>
      </c>
      <c r="F8" s="2">
        <f t="shared" si="0"/>
        <v>3.8666666666666663</v>
      </c>
    </row>
    <row r="9" spans="2:6" ht="12.75">
      <c r="B9" t="s">
        <v>5</v>
      </c>
      <c r="D9" s="2">
        <f>+Details!D37</f>
        <v>8.052083333333334</v>
      </c>
      <c r="F9" s="2">
        <f t="shared" si="0"/>
        <v>3.2208333333333337</v>
      </c>
    </row>
    <row r="10" spans="2:6" ht="12.75">
      <c r="B10" t="s">
        <v>6</v>
      </c>
      <c r="D10" s="2">
        <f>+Details!D42</f>
        <v>0.5</v>
      </c>
      <c r="F10" s="2">
        <f t="shared" si="0"/>
        <v>0.2</v>
      </c>
    </row>
    <row r="11" spans="2:6" ht="12.75">
      <c r="B11" t="s">
        <v>7</v>
      </c>
      <c r="D11" s="2">
        <f>+Details!D46</f>
        <v>0.8333333333333334</v>
      </c>
      <c r="F11" s="2">
        <f t="shared" si="0"/>
        <v>0.33333333333333337</v>
      </c>
    </row>
    <row r="12" spans="2:7" ht="12.75">
      <c r="B12" s="8" t="s">
        <v>78</v>
      </c>
      <c r="D12" s="2">
        <f>+Details!D52</f>
        <v>1.0388020833333333</v>
      </c>
      <c r="F12" s="2">
        <f t="shared" si="0"/>
        <v>0.41552083333333334</v>
      </c>
      <c r="G12" s="3"/>
    </row>
    <row r="13" spans="2:6" ht="12.75">
      <c r="B13" s="16" t="s">
        <v>79</v>
      </c>
      <c r="C13" s="16"/>
      <c r="D13" s="22">
        <f>SUM(D6:D12)</f>
        <v>42.590885416666666</v>
      </c>
      <c r="F13" s="22">
        <f t="shared" si="0"/>
        <v>17.036354166666666</v>
      </c>
    </row>
    <row r="14" spans="4:6" ht="12.75">
      <c r="D14" s="2"/>
      <c r="F14" s="2"/>
    </row>
    <row r="15" spans="1:6" s="16" customFormat="1" ht="12.75">
      <c r="A15" s="16" t="s">
        <v>9</v>
      </c>
      <c r="B15" s="16" t="s">
        <v>10</v>
      </c>
      <c r="D15" s="15"/>
      <c r="E15" s="32"/>
      <c r="F15" s="2"/>
    </row>
    <row r="16" spans="2:6" ht="12.75">
      <c r="B16" s="8" t="s">
        <v>81</v>
      </c>
      <c r="D16" s="2"/>
      <c r="F16" s="2"/>
    </row>
    <row r="17" spans="2:6" ht="12.75">
      <c r="B17" s="8" t="s">
        <v>82</v>
      </c>
      <c r="D17" s="2">
        <f>+Details!D60</f>
        <v>7.5</v>
      </c>
      <c r="F17" s="2">
        <f>D17/$F$32</f>
        <v>3</v>
      </c>
    </row>
    <row r="18" spans="2:6" ht="12.75">
      <c r="B18" s="8" t="s">
        <v>83</v>
      </c>
      <c r="D18" s="2">
        <f>+Details!D89</f>
        <v>40.25</v>
      </c>
      <c r="F18" s="2">
        <f>D18/$F$32</f>
        <v>16.1</v>
      </c>
    </row>
    <row r="19" spans="2:6" ht="12.75">
      <c r="B19" s="8" t="s">
        <v>80</v>
      </c>
      <c r="D19" s="2"/>
      <c r="F19" s="2"/>
    </row>
    <row r="20" spans="2:6" ht="12.75">
      <c r="B20" s="8" t="s">
        <v>84</v>
      </c>
      <c r="D20" s="2">
        <f>+Details!D96</f>
        <v>4.6875</v>
      </c>
      <c r="F20" s="2">
        <f>D20/$F$32</f>
        <v>1.875</v>
      </c>
    </row>
    <row r="21" spans="2:6" ht="12.75">
      <c r="B21" s="8" t="s">
        <v>85</v>
      </c>
      <c r="D21" s="2">
        <f>+Details!D104</f>
        <v>1.875</v>
      </c>
      <c r="F21" s="2">
        <f>D21/$F$32</f>
        <v>0.75</v>
      </c>
    </row>
    <row r="22" spans="2:6" ht="12.75">
      <c r="B22" s="8" t="s">
        <v>86</v>
      </c>
      <c r="D22" s="2">
        <f>+Details!D138</f>
        <v>4.1625</v>
      </c>
      <c r="F22" s="2">
        <f>D22/$F$32</f>
        <v>1.6649999999999998</v>
      </c>
    </row>
    <row r="23" spans="2:6" ht="12.75">
      <c r="B23" s="16" t="s">
        <v>87</v>
      </c>
      <c r="C23" s="16"/>
      <c r="D23" s="22">
        <f>SUM(D17:D22)</f>
        <v>58.475</v>
      </c>
      <c r="F23" s="22">
        <f>D23/$F$32</f>
        <v>23.39</v>
      </c>
    </row>
    <row r="24" spans="2:6" ht="12.75">
      <c r="B24" s="16"/>
      <c r="C24" s="16"/>
      <c r="D24" s="15"/>
      <c r="F24" s="2"/>
    </row>
    <row r="25" spans="2:6" ht="12.75">
      <c r="B25" s="16" t="s">
        <v>88</v>
      </c>
      <c r="C25" s="16"/>
      <c r="D25" s="22">
        <f>+D13+D23</f>
        <v>101.06588541666667</v>
      </c>
      <c r="F25" s="22">
        <f>D25/$F$32</f>
        <v>40.42635416666667</v>
      </c>
    </row>
    <row r="26" spans="4:6" ht="12.75">
      <c r="D26" s="2"/>
      <c r="F26" s="2"/>
    </row>
    <row r="27" spans="1:6" s="16" customFormat="1" ht="12.75">
      <c r="A27" s="16" t="s">
        <v>17</v>
      </c>
      <c r="B27" s="16" t="s">
        <v>16</v>
      </c>
      <c r="D27" s="15">
        <f>+Details!D143</f>
        <v>30</v>
      </c>
      <c r="E27" s="32"/>
      <c r="F27" s="15">
        <f>D27/$F$32</f>
        <v>12</v>
      </c>
    </row>
    <row r="28" spans="2:6" ht="12.75">
      <c r="B28" s="8"/>
      <c r="D28" s="1"/>
      <c r="F28" s="2"/>
    </row>
    <row r="29" spans="2:6" ht="12.75">
      <c r="B29" s="16" t="s">
        <v>89</v>
      </c>
      <c r="C29" s="16"/>
      <c r="D29" s="38">
        <f>SUM(D25:D28)</f>
        <v>131.06588541666667</v>
      </c>
      <c r="F29" s="22">
        <f>D29/$F$32</f>
        <v>52.42635416666667</v>
      </c>
    </row>
    <row r="30" spans="2:4" ht="12.75">
      <c r="B30" s="16"/>
      <c r="C30" s="16"/>
      <c r="D30" s="39"/>
    </row>
    <row r="31" ht="12.75">
      <c r="D31" s="1"/>
    </row>
    <row r="32" spans="2:7" ht="12.75">
      <c r="B32" s="24" t="s">
        <v>69</v>
      </c>
      <c r="C32" s="25"/>
      <c r="D32" s="25"/>
      <c r="E32" s="25"/>
      <c r="F32" s="29">
        <v>2.5</v>
      </c>
      <c r="G32" s="5"/>
    </row>
    <row r="33" spans="2:7" ht="12.75">
      <c r="B33" s="27"/>
      <c r="C33" s="26"/>
      <c r="D33" s="26"/>
      <c r="E33" s="26"/>
      <c r="F33" s="53" t="s">
        <v>68</v>
      </c>
      <c r="G33" s="5"/>
    </row>
    <row r="34" spans="2:7" ht="12.75">
      <c r="B34" s="28" t="s">
        <v>73</v>
      </c>
      <c r="C34" s="11"/>
      <c r="D34" s="11"/>
      <c r="E34" s="11"/>
      <c r="F34" s="31">
        <f>+D29/F32</f>
        <v>52.42635416666667</v>
      </c>
      <c r="G34" s="5"/>
    </row>
    <row r="35" ht="12.75">
      <c r="D35" s="1"/>
    </row>
    <row r="37" ht="12.75">
      <c r="B37" s="16" t="s">
        <v>90</v>
      </c>
    </row>
    <row r="38" ht="12.75">
      <c r="B38" s="8" t="s">
        <v>121</v>
      </c>
    </row>
    <row r="40" spans="2:5" ht="12.75">
      <c r="B40" s="8" t="s">
        <v>1</v>
      </c>
      <c r="D40" s="18">
        <f>1+(F13/'Profile &amp; Assumptions'!$H$10)/2.5</f>
        <v>1.0908605555555555</v>
      </c>
      <c r="E40" s="10" t="s">
        <v>103</v>
      </c>
    </row>
    <row r="41" spans="2:5" ht="12.75">
      <c r="B41" s="8" t="s">
        <v>122</v>
      </c>
      <c r="D41" s="18">
        <f>1+(F25/'Profile &amp; Assumptions'!$H$10)/2.5</f>
        <v>1.2156072222222223</v>
      </c>
      <c r="E41" s="10" t="s">
        <v>103</v>
      </c>
    </row>
    <row r="42" spans="2:5" ht="12.75">
      <c r="B42" s="8" t="s">
        <v>123</v>
      </c>
      <c r="D42" s="18">
        <f>1+(F29/'Profile &amp; Assumptions'!$H$10)/2.5</f>
        <v>1.2796072222222223</v>
      </c>
      <c r="E42" s="10" t="s">
        <v>103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
      <selection activeCell="I11" sqref="I11"/>
    </sheetView>
  </sheetViews>
  <sheetFormatPr defaultColWidth="9.140625" defaultRowHeight="12.75"/>
  <cols>
    <col min="10" max="10" width="10.28125" style="0" bestFit="1" customWidth="1"/>
  </cols>
  <sheetData>
    <row r="1" ht="12.75">
      <c r="A1" s="16" t="s">
        <v>70</v>
      </c>
    </row>
    <row r="2" ht="12.75">
      <c r="A2" s="8" t="s">
        <v>117</v>
      </c>
    </row>
    <row r="3" ht="12.75">
      <c r="A3" s="8" t="s">
        <v>91</v>
      </c>
    </row>
    <row r="4" ht="12.75">
      <c r="A4" s="8" t="s">
        <v>92</v>
      </c>
    </row>
    <row r="5" ht="12.75">
      <c r="A5" s="8"/>
    </row>
    <row r="7" ht="12.75">
      <c r="A7" s="16" t="s">
        <v>93</v>
      </c>
    </row>
    <row r="8" spans="1:8" ht="12.75">
      <c r="A8" s="8" t="s">
        <v>94</v>
      </c>
      <c r="H8">
        <v>300</v>
      </c>
    </row>
    <row r="9" spans="1:9" ht="12.75">
      <c r="A9" s="8" t="s">
        <v>95</v>
      </c>
      <c r="H9" s="42">
        <v>0.0075</v>
      </c>
      <c r="I9" s="8" t="s">
        <v>101</v>
      </c>
    </row>
    <row r="10" spans="1:9" ht="12.75">
      <c r="A10" s="8" t="s">
        <v>95</v>
      </c>
      <c r="H10" s="55">
        <f>H9*10000</f>
        <v>75</v>
      </c>
      <c r="I10" s="8" t="s">
        <v>124</v>
      </c>
    </row>
    <row r="11" spans="1:11" ht="12.75">
      <c r="A11" s="8" t="s">
        <v>96</v>
      </c>
      <c r="H11" s="20">
        <v>2.5</v>
      </c>
      <c r="I11" s="8" t="s">
        <v>119</v>
      </c>
      <c r="J11" s="54">
        <f>H11*10000</f>
        <v>25000</v>
      </c>
      <c r="K11" s="8" t="s">
        <v>120</v>
      </c>
    </row>
    <row r="12" spans="1:9" ht="12.75">
      <c r="A12" s="8" t="s">
        <v>97</v>
      </c>
      <c r="H12" s="8">
        <v>300</v>
      </c>
      <c r="I12" s="8" t="s">
        <v>102</v>
      </c>
    </row>
    <row r="13" spans="1:9" ht="12.75">
      <c r="A13" s="8" t="s">
        <v>98</v>
      </c>
      <c r="H13">
        <v>35</v>
      </c>
      <c r="I13" s="8" t="s">
        <v>103</v>
      </c>
    </row>
    <row r="14" spans="1:9" ht="12.75">
      <c r="A14" s="8" t="s">
        <v>99</v>
      </c>
      <c r="H14">
        <v>105</v>
      </c>
      <c r="I14" s="8" t="s">
        <v>102</v>
      </c>
    </row>
    <row r="15" spans="1:9" ht="12.75">
      <c r="A15" s="8" t="s">
        <v>100</v>
      </c>
      <c r="H15" s="8">
        <v>1.7</v>
      </c>
      <c r="I15" s="8" t="s">
        <v>103</v>
      </c>
    </row>
    <row r="18" ht="12.75">
      <c r="A18" s="8"/>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143"/>
  <sheetViews>
    <sheetView zoomScalePageLayoutView="0" workbookViewId="0" topLeftCell="A1">
      <selection activeCell="D135" sqref="D135"/>
    </sheetView>
  </sheetViews>
  <sheetFormatPr defaultColWidth="9.140625" defaultRowHeight="12.75"/>
  <cols>
    <col min="1" max="1" width="4.421875" style="6" customWidth="1"/>
    <col min="2" max="2" width="26.421875" style="0" customWidth="1"/>
    <col min="3" max="3" width="3.28125" style="5" customWidth="1"/>
    <col min="4" max="4" width="11.8515625" style="0" customWidth="1"/>
    <col min="5" max="5" width="20.140625" style="0" customWidth="1"/>
    <col min="6" max="13" width="9.140625" style="8" customWidth="1"/>
  </cols>
  <sheetData>
    <row r="1" ht="12.75">
      <c r="A1" s="41" t="s">
        <v>110</v>
      </c>
    </row>
    <row r="3" spans="1:2" ht="12.75">
      <c r="A3" s="6" t="s">
        <v>0</v>
      </c>
      <c r="B3" t="s">
        <v>1</v>
      </c>
    </row>
    <row r="4" spans="1:2" ht="12.75">
      <c r="A4" s="7" t="s">
        <v>18</v>
      </c>
      <c r="B4" t="s">
        <v>2</v>
      </c>
    </row>
    <row r="5" spans="4:5" ht="12.75">
      <c r="D5" s="2">
        <v>2250</v>
      </c>
      <c r="E5" s="8" t="s">
        <v>22</v>
      </c>
    </row>
    <row r="6" spans="3:5" ht="12.75">
      <c r="C6" s="9" t="s">
        <v>20</v>
      </c>
      <c r="D6" s="11">
        <f>'Profile &amp; Assumptions'!H8</f>
        <v>300</v>
      </c>
      <c r="E6" s="8" t="s">
        <v>23</v>
      </c>
    </row>
    <row r="7" spans="3:5" ht="12.75">
      <c r="C7" s="9" t="s">
        <v>19</v>
      </c>
      <c r="D7" s="15">
        <f>+D5/D6</f>
        <v>7.5</v>
      </c>
      <c r="E7" s="16" t="s">
        <v>24</v>
      </c>
    </row>
    <row r="8" spans="1:2" ht="12.75">
      <c r="A8" s="7" t="s">
        <v>21</v>
      </c>
      <c r="B8" t="s">
        <v>3</v>
      </c>
    </row>
    <row r="9" spans="1:5" ht="12.75">
      <c r="A9" s="7"/>
      <c r="D9" s="2">
        <v>3500</v>
      </c>
      <c r="E9" s="8" t="s">
        <v>25</v>
      </c>
    </row>
    <row r="10" spans="3:5" ht="12.75">
      <c r="C10" s="9" t="s">
        <v>28</v>
      </c>
      <c r="D10" s="14">
        <v>1000</v>
      </c>
      <c r="E10" s="8" t="s">
        <v>26</v>
      </c>
    </row>
    <row r="11" spans="3:5" ht="12.75">
      <c r="C11" s="9" t="s">
        <v>19</v>
      </c>
      <c r="D11" s="2">
        <f>+D9+D10</f>
        <v>4500</v>
      </c>
      <c r="E11" s="8" t="s">
        <v>27</v>
      </c>
    </row>
    <row r="12" spans="3:5" ht="12.75">
      <c r="C12" s="9" t="s">
        <v>20</v>
      </c>
      <c r="D12" s="11">
        <f>D6</f>
        <v>300</v>
      </c>
      <c r="E12" s="8" t="s">
        <v>23</v>
      </c>
    </row>
    <row r="13" spans="3:5" ht="12.75">
      <c r="C13" s="9" t="s">
        <v>19</v>
      </c>
      <c r="D13" s="15">
        <f>+D11/D12</f>
        <v>15</v>
      </c>
      <c r="E13" s="16" t="s">
        <v>24</v>
      </c>
    </row>
    <row r="14" spans="1:2" ht="12.75">
      <c r="A14" s="7" t="s">
        <v>41</v>
      </c>
      <c r="B14" t="s">
        <v>4</v>
      </c>
    </row>
    <row r="15" spans="4:5" ht="12.75">
      <c r="D15" s="2">
        <v>75000</v>
      </c>
      <c r="E15" s="8" t="s">
        <v>29</v>
      </c>
    </row>
    <row r="16" spans="3:5" ht="12.75">
      <c r="C16" s="10" t="s">
        <v>34</v>
      </c>
      <c r="D16" s="12">
        <v>0.02</v>
      </c>
      <c r="E16" s="8" t="s">
        <v>30</v>
      </c>
    </row>
    <row r="17" spans="3:5" ht="12.75">
      <c r="C17" s="9" t="s">
        <v>19</v>
      </c>
      <c r="D17" s="2">
        <f>+D15*D16</f>
        <v>1500</v>
      </c>
      <c r="E17" s="8" t="s">
        <v>31</v>
      </c>
    </row>
    <row r="18" spans="3:5" ht="12.75">
      <c r="C18" s="9" t="s">
        <v>28</v>
      </c>
      <c r="D18" s="2">
        <v>1000</v>
      </c>
      <c r="E18" s="8" t="s">
        <v>32</v>
      </c>
    </row>
    <row r="19" spans="3:5" ht="12.75">
      <c r="C19" s="9" t="s">
        <v>28</v>
      </c>
      <c r="D19" s="2">
        <v>400</v>
      </c>
      <c r="E19" s="8" t="s">
        <v>33</v>
      </c>
    </row>
    <row r="20" spans="3:5" ht="12.75">
      <c r="C20" s="9" t="s">
        <v>20</v>
      </c>
      <c r="D20" s="11">
        <f>D6</f>
        <v>300</v>
      </c>
      <c r="E20" s="8" t="s">
        <v>23</v>
      </c>
    </row>
    <row r="21" spans="3:5" ht="12.75">
      <c r="C21" s="9" t="s">
        <v>19</v>
      </c>
      <c r="D21" s="15">
        <f>+(D17+D18+D19)/D20</f>
        <v>9.666666666666666</v>
      </c>
      <c r="E21" s="16" t="s">
        <v>24</v>
      </c>
    </row>
    <row r="22" spans="1:2" ht="12.75">
      <c r="A22" s="7" t="s">
        <v>42</v>
      </c>
      <c r="B22" t="s">
        <v>5</v>
      </c>
    </row>
    <row r="23" spans="4:5" ht="12.75">
      <c r="D23" s="44">
        <v>125000</v>
      </c>
      <c r="E23" s="8" t="s">
        <v>35</v>
      </c>
    </row>
    <row r="24" spans="3:12" ht="12.75">
      <c r="C24" s="10" t="s">
        <v>34</v>
      </c>
      <c r="D24" s="44">
        <v>0.75</v>
      </c>
      <c r="E24" s="8" t="s">
        <v>36</v>
      </c>
      <c r="F24" s="49"/>
      <c r="G24" s="49"/>
      <c r="H24" s="49"/>
      <c r="I24" s="49"/>
      <c r="J24" s="49"/>
      <c r="K24" s="49"/>
      <c r="L24" s="49"/>
    </row>
    <row r="25" spans="3:12" ht="12.75">
      <c r="C25" s="9" t="s">
        <v>20</v>
      </c>
      <c r="D25" s="45">
        <f>D6</f>
        <v>300</v>
      </c>
      <c r="E25" s="8" t="s">
        <v>23</v>
      </c>
      <c r="F25" s="49"/>
      <c r="G25" s="49"/>
      <c r="H25" s="49"/>
      <c r="I25" s="49"/>
      <c r="J25" s="49"/>
      <c r="K25" s="49"/>
      <c r="L25" s="49"/>
    </row>
    <row r="26" spans="3:12" ht="12.75">
      <c r="C26" s="9" t="s">
        <v>19</v>
      </c>
      <c r="D26" s="46">
        <f>+D23*D24/D25/100</f>
        <v>3.125</v>
      </c>
      <c r="E26" s="8" t="s">
        <v>24</v>
      </c>
      <c r="F26" s="49"/>
      <c r="G26" s="46"/>
      <c r="H26" s="49"/>
      <c r="I26" s="49"/>
      <c r="J26" s="49"/>
      <c r="K26" s="49"/>
      <c r="L26" s="49"/>
    </row>
    <row r="27" spans="4:12" ht="12.75">
      <c r="D27" s="47"/>
      <c r="F27" s="49"/>
      <c r="G27" s="46"/>
      <c r="H27" s="49"/>
      <c r="I27" s="49"/>
      <c r="J27" s="49"/>
      <c r="K27" s="49"/>
      <c r="L27" s="49"/>
    </row>
    <row r="28" spans="4:12" ht="12.75">
      <c r="D28" s="44">
        <f>'Profile &amp; Assumptions'!J11*'Profile &amp; Assumptions'!H9*'Profile &amp; Assumptions'!H8*'Profile &amp; Assumptions'!H15</f>
        <v>95625</v>
      </c>
      <c r="E28" s="8" t="s">
        <v>37</v>
      </c>
      <c r="F28" s="49"/>
      <c r="G28" s="46"/>
      <c r="H28" s="49"/>
      <c r="I28" s="49"/>
      <c r="J28" s="49"/>
      <c r="K28" s="49"/>
      <c r="L28" s="49"/>
    </row>
    <row r="29" spans="3:12" ht="12.75">
      <c r="C29" s="10" t="s">
        <v>34</v>
      </c>
      <c r="D29" s="44">
        <v>0.5</v>
      </c>
      <c r="E29" s="8" t="s">
        <v>36</v>
      </c>
      <c r="F29" s="49"/>
      <c r="G29" s="46"/>
      <c r="H29" s="49"/>
      <c r="I29" s="49"/>
      <c r="J29" s="49"/>
      <c r="K29" s="49"/>
      <c r="L29" s="49"/>
    </row>
    <row r="30" spans="3:12" ht="12.75">
      <c r="C30" s="9" t="s">
        <v>20</v>
      </c>
      <c r="D30" s="45">
        <f>D6</f>
        <v>300</v>
      </c>
      <c r="E30" s="8" t="s">
        <v>23</v>
      </c>
      <c r="F30" s="49"/>
      <c r="G30" s="46"/>
      <c r="H30" s="49"/>
      <c r="I30" s="49"/>
      <c r="J30" s="49"/>
      <c r="K30" s="49"/>
      <c r="L30" s="49"/>
    </row>
    <row r="31" spans="3:12" ht="12.75">
      <c r="C31" s="9" t="s">
        <v>19</v>
      </c>
      <c r="D31" s="21">
        <f>+D28*D29/D30/100</f>
        <v>1.59375</v>
      </c>
      <c r="E31" s="8" t="s">
        <v>24</v>
      </c>
      <c r="F31" s="49"/>
      <c r="G31" s="46"/>
      <c r="H31" s="49"/>
      <c r="I31" s="49"/>
      <c r="J31" s="49"/>
      <c r="K31" s="49"/>
      <c r="L31" s="49"/>
    </row>
    <row r="32" spans="5:12" ht="12.75">
      <c r="E32" s="8"/>
      <c r="F32" s="49"/>
      <c r="G32" s="46"/>
      <c r="H32" s="49"/>
      <c r="I32" s="49"/>
      <c r="J32" s="49"/>
      <c r="K32" s="49"/>
      <c r="L32" s="49"/>
    </row>
    <row r="33" spans="4:12" ht="12.75">
      <c r="D33" s="2">
        <v>1000</v>
      </c>
      <c r="E33" s="8" t="s">
        <v>38</v>
      </c>
      <c r="F33" s="49"/>
      <c r="G33" s="46"/>
      <c r="H33" s="49"/>
      <c r="I33" s="49"/>
      <c r="J33" s="49"/>
      <c r="K33" s="49"/>
      <c r="L33" s="49"/>
    </row>
    <row r="34" spans="3:12" ht="12.75">
      <c r="C34" s="9" t="s">
        <v>20</v>
      </c>
      <c r="D34" s="11">
        <f>D6</f>
        <v>300</v>
      </c>
      <c r="E34" s="8" t="s">
        <v>23</v>
      </c>
      <c r="F34" s="49"/>
      <c r="G34" s="46"/>
      <c r="H34" s="49"/>
      <c r="I34" s="49"/>
      <c r="J34" s="49"/>
      <c r="K34" s="49"/>
      <c r="L34" s="49"/>
    </row>
    <row r="35" spans="3:12" ht="12.75">
      <c r="C35" s="9" t="s">
        <v>19</v>
      </c>
      <c r="D35" s="13">
        <f>+D33/D34</f>
        <v>3.3333333333333335</v>
      </c>
      <c r="E35" s="8" t="s">
        <v>24</v>
      </c>
      <c r="F35" s="49"/>
      <c r="G35" s="46"/>
      <c r="H35" s="49"/>
      <c r="I35" s="49"/>
      <c r="J35" s="49"/>
      <c r="K35" s="49"/>
      <c r="L35" s="49"/>
    </row>
    <row r="36" spans="4:12" ht="12.75">
      <c r="D36" s="13"/>
      <c r="E36" s="8"/>
      <c r="F36" s="49"/>
      <c r="G36" s="46"/>
      <c r="H36" s="49"/>
      <c r="I36" s="49"/>
      <c r="J36" s="49"/>
      <c r="K36" s="49"/>
      <c r="L36" s="49"/>
    </row>
    <row r="37" spans="2:12" ht="12.75">
      <c r="B37" s="20" t="s">
        <v>39</v>
      </c>
      <c r="C37" s="9" t="s">
        <v>19</v>
      </c>
      <c r="D37" s="17">
        <f>+D26+D31+D35</f>
        <v>8.052083333333334</v>
      </c>
      <c r="E37" s="16" t="s">
        <v>24</v>
      </c>
      <c r="F37" s="49"/>
      <c r="G37" s="49"/>
      <c r="H37" s="49"/>
      <c r="I37" s="49"/>
      <c r="J37" s="49"/>
      <c r="K37" s="49"/>
      <c r="L37" s="49"/>
    </row>
    <row r="38" spans="2:12" ht="12.75">
      <c r="B38" s="8"/>
      <c r="C38" s="9"/>
      <c r="D38" s="13"/>
      <c r="E38" s="8"/>
      <c r="F38" s="51"/>
      <c r="G38" s="46"/>
      <c r="H38" s="49"/>
      <c r="I38" s="49"/>
      <c r="J38" s="49"/>
      <c r="K38" s="49"/>
      <c r="L38" s="49"/>
    </row>
    <row r="39" spans="1:2" ht="12.75">
      <c r="A39" s="7" t="s">
        <v>43</v>
      </c>
      <c r="B39" t="s">
        <v>6</v>
      </c>
    </row>
    <row r="40" spans="4:5" ht="12.75">
      <c r="D40" s="13">
        <v>150</v>
      </c>
      <c r="E40" s="8" t="s">
        <v>40</v>
      </c>
    </row>
    <row r="41" spans="3:5" ht="12.75">
      <c r="C41" s="9" t="s">
        <v>20</v>
      </c>
      <c r="D41" s="11">
        <f>D6</f>
        <v>300</v>
      </c>
      <c r="E41" s="8" t="s">
        <v>23</v>
      </c>
    </row>
    <row r="42" spans="3:5" ht="12.75">
      <c r="C42" s="9" t="s">
        <v>19</v>
      </c>
      <c r="D42" s="15">
        <f>+D40/D41</f>
        <v>0.5</v>
      </c>
      <c r="E42" s="16" t="s">
        <v>24</v>
      </c>
    </row>
    <row r="43" ht="12.75">
      <c r="C43" s="9"/>
    </row>
    <row r="44" spans="1:5" ht="12.75">
      <c r="A44" s="7" t="s">
        <v>44</v>
      </c>
      <c r="B44" t="s">
        <v>7</v>
      </c>
      <c r="D44" s="2">
        <v>250</v>
      </c>
      <c r="E44" s="8" t="s">
        <v>40</v>
      </c>
    </row>
    <row r="45" spans="3:5" ht="12.75">
      <c r="C45" s="9" t="s">
        <v>20</v>
      </c>
      <c r="D45" s="11">
        <f>D6</f>
        <v>300</v>
      </c>
      <c r="E45" s="8" t="s">
        <v>23</v>
      </c>
    </row>
    <row r="46" spans="3:5" ht="12.75">
      <c r="C46" s="9" t="s">
        <v>19</v>
      </c>
      <c r="D46" s="15">
        <f>+D44/D45</f>
        <v>0.8333333333333334</v>
      </c>
      <c r="E46" s="16" t="s">
        <v>24</v>
      </c>
    </row>
    <row r="48" spans="1:2" ht="12.75">
      <c r="A48" s="7" t="s">
        <v>45</v>
      </c>
      <c r="B48" t="s">
        <v>8</v>
      </c>
    </row>
    <row r="49" spans="4:5" ht="12.75">
      <c r="D49" s="2">
        <f>+D7+D13+D21+D37+D42+D46</f>
        <v>41.552083333333336</v>
      </c>
      <c r="E49" s="8" t="s">
        <v>46</v>
      </c>
    </row>
    <row r="50" spans="3:4" ht="12.75">
      <c r="C50" s="9" t="s">
        <v>20</v>
      </c>
      <c r="D50">
        <v>2</v>
      </c>
    </row>
    <row r="51" spans="3:5" ht="12.75">
      <c r="C51" s="10" t="s">
        <v>34</v>
      </c>
      <c r="D51" s="48">
        <v>0.05</v>
      </c>
      <c r="E51" s="8" t="s">
        <v>47</v>
      </c>
    </row>
    <row r="52" spans="3:5" ht="12.75">
      <c r="C52" s="9" t="s">
        <v>19</v>
      </c>
      <c r="D52" s="15">
        <f>+D49/D50*D51</f>
        <v>1.0388020833333333</v>
      </c>
      <c r="E52" s="16" t="s">
        <v>24</v>
      </c>
    </row>
    <row r="53" spans="1:2" ht="12.75">
      <c r="A53" s="6" t="s">
        <v>9</v>
      </c>
      <c r="B53" t="s">
        <v>10</v>
      </c>
    </row>
    <row r="54" spans="1:2" ht="12.75">
      <c r="A54" s="7" t="s">
        <v>49</v>
      </c>
      <c r="B54" t="s">
        <v>11</v>
      </c>
    </row>
    <row r="55" spans="1:2" ht="12.75">
      <c r="A55" s="7" t="s">
        <v>48</v>
      </c>
      <c r="B55" t="s">
        <v>13</v>
      </c>
    </row>
    <row r="56" spans="4:5" ht="12.75">
      <c r="D56" s="2">
        <v>50000</v>
      </c>
      <c r="E56" s="8" t="s">
        <v>50</v>
      </c>
    </row>
    <row r="57" spans="3:5" ht="12.75">
      <c r="C57" s="10" t="s">
        <v>53</v>
      </c>
      <c r="D57" s="2">
        <v>5000</v>
      </c>
      <c r="E57" s="8" t="s">
        <v>51</v>
      </c>
    </row>
    <row r="58" spans="3:5" ht="12.75">
      <c r="C58" s="9" t="s">
        <v>20</v>
      </c>
      <c r="D58">
        <v>20</v>
      </c>
      <c r="E58" s="8" t="s">
        <v>52</v>
      </c>
    </row>
    <row r="59" spans="3:5" ht="12.75">
      <c r="C59" s="9" t="s">
        <v>20</v>
      </c>
      <c r="D59">
        <f>D6</f>
        <v>300</v>
      </c>
      <c r="E59" s="8" t="s">
        <v>23</v>
      </c>
    </row>
    <row r="60" spans="3:5" ht="12.75">
      <c r="C60" s="9" t="s">
        <v>19</v>
      </c>
      <c r="D60" s="22">
        <f>+(D56-D57)/D58/D59</f>
        <v>7.5</v>
      </c>
      <c r="E60" s="16" t="s">
        <v>24</v>
      </c>
    </row>
    <row r="61" spans="1:2" ht="12.75">
      <c r="A61" s="7" t="s">
        <v>54</v>
      </c>
      <c r="B61" t="s">
        <v>14</v>
      </c>
    </row>
    <row r="62" ht="12.75">
      <c r="B62" s="8" t="s">
        <v>55</v>
      </c>
    </row>
    <row r="63" spans="4:5" ht="12.75">
      <c r="D63" s="2">
        <v>22000</v>
      </c>
      <c r="E63" s="8" t="s">
        <v>50</v>
      </c>
    </row>
    <row r="64" spans="3:5" ht="12.75">
      <c r="C64" s="10" t="s">
        <v>53</v>
      </c>
      <c r="D64" s="2">
        <v>4400</v>
      </c>
      <c r="E64" s="8" t="s">
        <v>51</v>
      </c>
    </row>
    <row r="65" spans="3:5" ht="12.75">
      <c r="C65" s="9" t="s">
        <v>20</v>
      </c>
      <c r="D65">
        <v>10</v>
      </c>
      <c r="E65" s="8" t="s">
        <v>56</v>
      </c>
    </row>
    <row r="66" spans="3:5" ht="12.75">
      <c r="C66" s="9" t="s">
        <v>20</v>
      </c>
      <c r="D66" s="11">
        <f>D6</f>
        <v>300</v>
      </c>
      <c r="E66" s="8" t="s">
        <v>23</v>
      </c>
    </row>
    <row r="67" spans="3:5" ht="12.75">
      <c r="C67" s="9" t="s">
        <v>19</v>
      </c>
      <c r="D67" s="23">
        <f>+(D63-D64)/D65/D66</f>
        <v>5.866666666666666</v>
      </c>
      <c r="E67" s="8" t="s">
        <v>24</v>
      </c>
    </row>
    <row r="68" ht="12.75">
      <c r="B68" s="8" t="s">
        <v>58</v>
      </c>
    </row>
    <row r="69" spans="4:5" ht="12.75">
      <c r="D69" s="2">
        <v>7000</v>
      </c>
      <c r="E69" s="8" t="s">
        <v>50</v>
      </c>
    </row>
    <row r="70" spans="3:5" ht="12.75">
      <c r="C70" s="10" t="s">
        <v>53</v>
      </c>
      <c r="D70" s="2">
        <v>700</v>
      </c>
      <c r="E70" s="8" t="s">
        <v>51</v>
      </c>
    </row>
    <row r="71" spans="3:5" ht="12.75">
      <c r="C71" s="9" t="s">
        <v>20</v>
      </c>
      <c r="D71">
        <v>20</v>
      </c>
      <c r="E71" s="8" t="s">
        <v>56</v>
      </c>
    </row>
    <row r="72" spans="3:5" ht="12.75">
      <c r="C72" s="9" t="s">
        <v>20</v>
      </c>
      <c r="D72">
        <f>D6</f>
        <v>300</v>
      </c>
      <c r="E72" s="8" t="s">
        <v>23</v>
      </c>
    </row>
    <row r="73" spans="3:5" ht="12.75">
      <c r="C73" s="9" t="s">
        <v>19</v>
      </c>
      <c r="D73" s="19">
        <f>+(D69-D70)/D71/D72</f>
        <v>1.05</v>
      </c>
      <c r="E73" s="8" t="s">
        <v>24</v>
      </c>
    </row>
    <row r="75" ht="12.75">
      <c r="B75" s="8" t="s">
        <v>57</v>
      </c>
    </row>
    <row r="76" spans="4:5" ht="12.75">
      <c r="D76" s="2">
        <v>35000</v>
      </c>
      <c r="E76" s="8" t="s">
        <v>50</v>
      </c>
    </row>
    <row r="77" spans="3:5" ht="12.75">
      <c r="C77" s="10" t="s">
        <v>53</v>
      </c>
      <c r="D77">
        <v>0</v>
      </c>
      <c r="E77" s="8" t="s">
        <v>51</v>
      </c>
    </row>
    <row r="78" spans="3:5" ht="12.75">
      <c r="C78" s="9" t="s">
        <v>20</v>
      </c>
      <c r="D78">
        <v>5</v>
      </c>
      <c r="E78" s="8" t="s">
        <v>56</v>
      </c>
    </row>
    <row r="79" spans="3:5" ht="12.75">
      <c r="C79" s="9" t="s">
        <v>20</v>
      </c>
      <c r="D79" s="11">
        <f>D6</f>
        <v>300</v>
      </c>
      <c r="E79" s="8" t="s">
        <v>23</v>
      </c>
    </row>
    <row r="80" spans="3:5" ht="12.75">
      <c r="C80" s="9" t="s">
        <v>19</v>
      </c>
      <c r="D80" s="2">
        <f>+D76/D78/D79</f>
        <v>23.333333333333332</v>
      </c>
      <c r="E80" s="8" t="s">
        <v>24</v>
      </c>
    </row>
    <row r="82" ht="12.75">
      <c r="B82" s="8" t="s">
        <v>59</v>
      </c>
    </row>
    <row r="83" spans="4:5" ht="12.75">
      <c r="D83" s="2">
        <v>30000</v>
      </c>
      <c r="E83" s="8" t="s">
        <v>50</v>
      </c>
    </row>
    <row r="84" spans="3:5" ht="12.75">
      <c r="C84" s="10" t="s">
        <v>53</v>
      </c>
      <c r="D84" s="2">
        <v>3000</v>
      </c>
      <c r="E84" s="8" t="s">
        <v>51</v>
      </c>
    </row>
    <row r="85" spans="3:5" ht="12.75">
      <c r="C85" s="9" t="s">
        <v>20</v>
      </c>
      <c r="D85">
        <v>10</v>
      </c>
      <c r="E85" s="8" t="s">
        <v>56</v>
      </c>
    </row>
    <row r="86" spans="3:5" ht="12.75">
      <c r="C86" s="9" t="s">
        <v>20</v>
      </c>
      <c r="D86" s="11">
        <f>D6</f>
        <v>300</v>
      </c>
      <c r="E86" s="8" t="s">
        <v>23</v>
      </c>
    </row>
    <row r="87" spans="3:13" ht="12.75">
      <c r="C87" s="9" t="s">
        <v>19</v>
      </c>
      <c r="D87" s="2">
        <f>+D83/D85/D86</f>
        <v>10</v>
      </c>
      <c r="E87" s="8" t="s">
        <v>24</v>
      </c>
      <c r="G87" s="49"/>
      <c r="H87" s="49"/>
      <c r="I87" s="49"/>
      <c r="J87" s="49"/>
      <c r="K87" s="49"/>
      <c r="L87" s="49"/>
      <c r="M87" s="49"/>
    </row>
    <row r="88" spans="7:13" ht="12.75">
      <c r="G88" s="49"/>
      <c r="H88" s="49"/>
      <c r="I88" s="49"/>
      <c r="J88" s="49"/>
      <c r="K88" s="49"/>
      <c r="L88" s="49"/>
      <c r="M88" s="49"/>
    </row>
    <row r="89" spans="2:13" ht="12.75">
      <c r="B89" s="20" t="s">
        <v>39</v>
      </c>
      <c r="C89" s="9" t="s">
        <v>19</v>
      </c>
      <c r="D89" s="50">
        <f>+D67+D73+D80+D87</f>
        <v>40.25</v>
      </c>
      <c r="E89" s="16" t="s">
        <v>24</v>
      </c>
      <c r="G89" s="49"/>
      <c r="H89" s="49"/>
      <c r="I89" s="49"/>
      <c r="J89" s="49"/>
      <c r="K89" s="49"/>
      <c r="L89" s="49"/>
      <c r="M89" s="49"/>
    </row>
    <row r="90" spans="7:13" ht="12.75">
      <c r="G90" s="49"/>
      <c r="H90" s="49"/>
      <c r="I90" s="49"/>
      <c r="J90" s="49"/>
      <c r="K90" s="49"/>
      <c r="L90" s="49"/>
      <c r="M90" s="49"/>
    </row>
    <row r="91" spans="1:13" ht="12.75">
      <c r="A91" s="7" t="s">
        <v>60</v>
      </c>
      <c r="B91" t="s">
        <v>12</v>
      </c>
      <c r="G91" s="49"/>
      <c r="H91" s="49"/>
      <c r="I91" s="49"/>
      <c r="J91" s="49"/>
      <c r="K91" s="49"/>
      <c r="L91" s="49"/>
      <c r="M91" s="49"/>
    </row>
    <row r="92" spans="1:13" ht="12.75">
      <c r="A92" s="7" t="s">
        <v>61</v>
      </c>
      <c r="B92" t="s">
        <v>15</v>
      </c>
      <c r="G92" s="49"/>
      <c r="H92" s="49"/>
      <c r="I92" s="49"/>
      <c r="J92" s="49"/>
      <c r="K92" s="49"/>
      <c r="L92" s="49"/>
      <c r="M92" s="49"/>
    </row>
    <row r="93" spans="4:13" ht="12.75">
      <c r="D93" s="30">
        <f>'Profile &amp; Assumptions'!J11</f>
        <v>25000</v>
      </c>
      <c r="E93" s="8" t="s">
        <v>62</v>
      </c>
      <c r="G93" s="49"/>
      <c r="H93" s="49"/>
      <c r="I93" s="49"/>
      <c r="J93" s="49"/>
      <c r="K93" s="49"/>
      <c r="L93" s="49"/>
      <c r="M93" s="49"/>
    </row>
    <row r="94" spans="3:13" ht="12.75">
      <c r="C94" s="10" t="s">
        <v>34</v>
      </c>
      <c r="D94" s="43">
        <f>'Profile &amp; Assumptions'!H9</f>
        <v>0.0075</v>
      </c>
      <c r="E94" s="8" t="s">
        <v>63</v>
      </c>
      <c r="G94" s="49"/>
      <c r="H94" s="49"/>
      <c r="I94" s="49"/>
      <c r="J94" s="49"/>
      <c r="K94" s="49"/>
      <c r="L94" s="49"/>
      <c r="M94" s="49"/>
    </row>
    <row r="95" spans="3:5" ht="12.75">
      <c r="C95" s="10" t="s">
        <v>34</v>
      </c>
      <c r="D95" s="12">
        <v>0.025</v>
      </c>
      <c r="E95" s="8" t="s">
        <v>64</v>
      </c>
    </row>
    <row r="96" spans="3:5" ht="12.75">
      <c r="C96" s="9" t="s">
        <v>19</v>
      </c>
      <c r="D96" s="15">
        <f>+D93*D94*D95</f>
        <v>4.6875</v>
      </c>
      <c r="E96" s="16" t="s">
        <v>24</v>
      </c>
    </row>
    <row r="98" spans="1:2" ht="12.75">
      <c r="A98" s="7" t="s">
        <v>65</v>
      </c>
      <c r="B98" t="s">
        <v>13</v>
      </c>
    </row>
    <row r="99" spans="4:5" ht="12.75">
      <c r="D99" s="2">
        <v>50000</v>
      </c>
      <c r="E99" s="8" t="s">
        <v>50</v>
      </c>
    </row>
    <row r="100" spans="3:5" ht="12.75">
      <c r="C100" s="10" t="s">
        <v>53</v>
      </c>
      <c r="D100" s="2">
        <v>5000</v>
      </c>
      <c r="E100" s="8" t="s">
        <v>51</v>
      </c>
    </row>
    <row r="101" spans="3:4" ht="12.75">
      <c r="C101" s="9" t="s">
        <v>20</v>
      </c>
      <c r="D101">
        <v>2</v>
      </c>
    </row>
    <row r="102" spans="3:5" ht="12.75">
      <c r="C102" s="10" t="s">
        <v>34</v>
      </c>
      <c r="D102" s="3">
        <f>D95</f>
        <v>0.025</v>
      </c>
      <c r="E102" s="8" t="s">
        <v>64</v>
      </c>
    </row>
    <row r="103" spans="3:5" ht="12.75">
      <c r="C103" s="9" t="s">
        <v>20</v>
      </c>
      <c r="D103" s="11">
        <f>D6</f>
        <v>300</v>
      </c>
      <c r="E103" s="8" t="s">
        <v>23</v>
      </c>
    </row>
    <row r="104" spans="3:5" ht="12.75">
      <c r="C104" s="9" t="s">
        <v>19</v>
      </c>
      <c r="D104" s="15">
        <f>+(D99-D100)/D101*D102/D103</f>
        <v>1.875</v>
      </c>
      <c r="E104" s="16" t="s">
        <v>24</v>
      </c>
    </row>
    <row r="106" ht="12.75">
      <c r="B106" t="s">
        <v>14</v>
      </c>
    </row>
    <row r="107" ht="12.75">
      <c r="B107" s="8" t="s">
        <v>55</v>
      </c>
    </row>
    <row r="108" spans="4:5" ht="12.75">
      <c r="D108" s="2">
        <v>27000</v>
      </c>
      <c r="E108" s="8" t="s">
        <v>50</v>
      </c>
    </row>
    <row r="109" spans="3:5" ht="12.75">
      <c r="C109" s="10" t="s">
        <v>53</v>
      </c>
      <c r="D109" s="2">
        <v>5400</v>
      </c>
      <c r="E109" s="8" t="s">
        <v>51</v>
      </c>
    </row>
    <row r="110" spans="3:5" ht="12.75">
      <c r="C110" s="9" t="s">
        <v>20</v>
      </c>
      <c r="D110">
        <v>2</v>
      </c>
      <c r="E110" s="8"/>
    </row>
    <row r="111" spans="3:5" ht="12.75">
      <c r="C111" s="10" t="s">
        <v>34</v>
      </c>
      <c r="D111" s="3">
        <f>D95</f>
        <v>0.025</v>
      </c>
      <c r="E111" s="8" t="s">
        <v>64</v>
      </c>
    </row>
    <row r="112" spans="3:5" ht="12.75">
      <c r="C112" s="9" t="s">
        <v>20</v>
      </c>
      <c r="D112" s="11">
        <f>D6</f>
        <v>300</v>
      </c>
      <c r="E112" s="8" t="s">
        <v>23</v>
      </c>
    </row>
    <row r="113" spans="3:5" ht="12.75">
      <c r="C113" s="9" t="s">
        <v>19</v>
      </c>
      <c r="D113" s="2">
        <f>+(D108-D109)/D110*D111/D112</f>
        <v>0.9</v>
      </c>
      <c r="E113" s="8" t="s">
        <v>24</v>
      </c>
    </row>
    <row r="114" ht="12.75">
      <c r="B114" s="8" t="s">
        <v>58</v>
      </c>
    </row>
    <row r="115" spans="4:5" ht="12.75">
      <c r="D115" s="2">
        <v>7000</v>
      </c>
      <c r="E115" s="8" t="s">
        <v>50</v>
      </c>
    </row>
    <row r="116" spans="3:5" ht="12.75">
      <c r="C116" s="10" t="s">
        <v>53</v>
      </c>
      <c r="D116" s="2">
        <v>700</v>
      </c>
      <c r="E116" s="8" t="s">
        <v>51</v>
      </c>
    </row>
    <row r="117" spans="3:5" ht="12.75">
      <c r="C117" s="9" t="s">
        <v>20</v>
      </c>
      <c r="D117">
        <v>2</v>
      </c>
      <c r="E117" s="8"/>
    </row>
    <row r="118" spans="3:5" ht="12.75">
      <c r="C118" s="10" t="s">
        <v>34</v>
      </c>
      <c r="D118" s="3">
        <f>D95</f>
        <v>0.025</v>
      </c>
      <c r="E118" s="8" t="s">
        <v>64</v>
      </c>
    </row>
    <row r="119" spans="3:5" ht="12.75">
      <c r="C119" s="9" t="s">
        <v>20</v>
      </c>
      <c r="D119" s="11">
        <f>D6</f>
        <v>300</v>
      </c>
      <c r="E119" s="8" t="s">
        <v>23</v>
      </c>
    </row>
    <row r="120" spans="3:5" ht="12.75">
      <c r="C120" s="9" t="s">
        <v>19</v>
      </c>
      <c r="D120" s="2">
        <f>+(D115-D116)/D117*D118/D119</f>
        <v>0.2625</v>
      </c>
      <c r="E120" s="8" t="s">
        <v>24</v>
      </c>
    </row>
    <row r="122" ht="12.75">
      <c r="B122" s="8" t="s">
        <v>57</v>
      </c>
    </row>
    <row r="123" spans="4:5" ht="12.75">
      <c r="D123" s="2">
        <v>45000</v>
      </c>
      <c r="E123" s="8" t="s">
        <v>50</v>
      </c>
    </row>
    <row r="124" spans="3:5" ht="12.75">
      <c r="C124" s="10" t="s">
        <v>53</v>
      </c>
      <c r="D124">
        <v>0</v>
      </c>
      <c r="E124" s="8" t="s">
        <v>51</v>
      </c>
    </row>
    <row r="125" spans="3:5" ht="12.75">
      <c r="C125" s="9" t="s">
        <v>20</v>
      </c>
      <c r="D125">
        <v>2</v>
      </c>
      <c r="E125" s="8"/>
    </row>
    <row r="126" spans="3:5" ht="12.75">
      <c r="C126" s="10" t="s">
        <v>34</v>
      </c>
      <c r="D126" s="3">
        <f>D95</f>
        <v>0.025</v>
      </c>
      <c r="E126" s="8" t="s">
        <v>64</v>
      </c>
    </row>
    <row r="127" spans="3:5" ht="12.75">
      <c r="C127" s="9" t="s">
        <v>20</v>
      </c>
      <c r="D127" s="11">
        <f>D6</f>
        <v>300</v>
      </c>
      <c r="E127" s="8" t="s">
        <v>23</v>
      </c>
    </row>
    <row r="128" spans="3:5" ht="12.75">
      <c r="C128" s="9" t="s">
        <v>19</v>
      </c>
      <c r="D128" s="2">
        <f>+(D123-D124)/D125*D126/D127</f>
        <v>1.875</v>
      </c>
      <c r="E128" s="8" t="s">
        <v>24</v>
      </c>
    </row>
    <row r="130" ht="12.75">
      <c r="B130" s="8" t="s">
        <v>59</v>
      </c>
    </row>
    <row r="131" spans="4:5" ht="12.75">
      <c r="D131" s="2">
        <v>30000</v>
      </c>
      <c r="E131" s="8" t="s">
        <v>50</v>
      </c>
    </row>
    <row r="132" spans="3:5" ht="12.75">
      <c r="C132" s="10" t="s">
        <v>53</v>
      </c>
      <c r="D132" s="2">
        <v>3000</v>
      </c>
      <c r="E132" s="8" t="s">
        <v>51</v>
      </c>
    </row>
    <row r="133" spans="3:5" ht="12.75">
      <c r="C133" s="9" t="s">
        <v>20</v>
      </c>
      <c r="D133">
        <v>2</v>
      </c>
      <c r="E133" s="8"/>
    </row>
    <row r="134" spans="3:5" ht="12.75">
      <c r="C134" s="10" t="s">
        <v>34</v>
      </c>
      <c r="D134" s="3">
        <f>D95</f>
        <v>0.025</v>
      </c>
      <c r="E134" s="8" t="s">
        <v>64</v>
      </c>
    </row>
    <row r="135" spans="3:5" ht="12.75">
      <c r="C135" s="9" t="s">
        <v>20</v>
      </c>
      <c r="D135" s="11">
        <f>D6</f>
        <v>300</v>
      </c>
      <c r="E135" s="8" t="s">
        <v>23</v>
      </c>
    </row>
    <row r="136" spans="3:5" ht="12.75">
      <c r="C136" s="9" t="s">
        <v>19</v>
      </c>
      <c r="D136" s="2">
        <f>+(D131-D132)/D133*D134/D135</f>
        <v>1.125</v>
      </c>
      <c r="E136" s="8" t="s">
        <v>24</v>
      </c>
    </row>
    <row r="138" spans="2:5" ht="12.75">
      <c r="B138" s="20" t="s">
        <v>39</v>
      </c>
      <c r="C138" s="9" t="s">
        <v>19</v>
      </c>
      <c r="D138" s="15">
        <f>+D113+D120+D128+D136</f>
        <v>4.1625</v>
      </c>
      <c r="E138" s="16" t="s">
        <v>24</v>
      </c>
    </row>
    <row r="140" spans="1:2" ht="12.75">
      <c r="A140" s="7" t="s">
        <v>17</v>
      </c>
      <c r="B140" t="s">
        <v>16</v>
      </c>
    </row>
    <row r="141" spans="4:5" ht="12.75">
      <c r="D141" s="18">
        <v>2</v>
      </c>
      <c r="E141" s="8" t="s">
        <v>66</v>
      </c>
    </row>
    <row r="142" spans="3:5" ht="12.75">
      <c r="C142" s="10" t="s">
        <v>34</v>
      </c>
      <c r="D142" s="14">
        <v>15</v>
      </c>
      <c r="E142" s="8" t="s">
        <v>67</v>
      </c>
    </row>
    <row r="143" spans="3:5" ht="12.75">
      <c r="C143" s="9" t="s">
        <v>19</v>
      </c>
      <c r="D143" s="15">
        <f>+D141*D142</f>
        <v>30</v>
      </c>
      <c r="E143" s="16" t="s">
        <v>24</v>
      </c>
    </row>
  </sheetData>
  <sheetProtection/>
  <printOptions/>
  <pageMargins left="0.36" right="0.2" top="1.04" bottom="0.79"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C24" sqref="C24"/>
    </sheetView>
  </sheetViews>
  <sheetFormatPr defaultColWidth="9.140625" defaultRowHeight="12.75"/>
  <sheetData>
    <row r="1" s="16" customFormat="1" ht="12.75">
      <c r="A1" s="16" t="s">
        <v>109</v>
      </c>
    </row>
    <row r="2" s="16" customFormat="1" ht="12.75"/>
    <row r="3" ht="12.75">
      <c r="A3" t="s">
        <v>71</v>
      </c>
    </row>
    <row r="5" ht="12.75">
      <c r="A5" t="s">
        <v>72</v>
      </c>
    </row>
    <row r="6" ht="12.75">
      <c r="A6" s="8" t="s">
        <v>107</v>
      </c>
    </row>
    <row r="8" ht="12.75">
      <c r="A8" s="8" t="s">
        <v>104</v>
      </c>
    </row>
    <row r="9" ht="12.75">
      <c r="A9" s="8" t="s">
        <v>105</v>
      </c>
    </row>
    <row r="11" ht="12.75">
      <c r="A11" s="8" t="s">
        <v>106</v>
      </c>
    </row>
    <row r="12" ht="12.75">
      <c r="A12" s="8" t="s">
        <v>107</v>
      </c>
    </row>
    <row r="14" s="16" customFormat="1" ht="12.75">
      <c r="A14" s="41"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Leafcutting Bee</dc:title>
  <dc:subject/>
  <dc:creator>dostermann</dc:creator>
  <cp:keywords/>
  <dc:description/>
  <cp:lastModifiedBy>Roy Arnott</cp:lastModifiedBy>
  <cp:lastPrinted>2012-06-05T14:16:15Z</cp:lastPrinted>
  <dcterms:created xsi:type="dcterms:W3CDTF">2010-01-26T18:12:18Z</dcterms:created>
  <dcterms:modified xsi:type="dcterms:W3CDTF">2013-05-29T14:31:54Z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PublishingExpirationDa">
    <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