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80" yWindow="30" windowWidth="9030" windowHeight="4575" tabRatio="745" activeTab="0"/>
  </bookViews>
  <sheets>
    <sheet name="Introduction" sheetId="1" r:id="rId1"/>
    <sheet name="Summary" sheetId="2" r:id="rId2"/>
    <sheet name="Input" sheetId="3" r:id="rId3"/>
    <sheet name="Other Costs" sheetId="4" r:id="rId4"/>
    <sheet name="Capital Costs" sheetId="5" r:id="rId5"/>
    <sheet name="Details" sheetId="6" r:id="rId6"/>
  </sheets>
  <definedNames>
    <definedName name="\C">#N/A</definedName>
    <definedName name="\N">#N/A</definedName>
    <definedName name="\W">#N/A</definedName>
    <definedName name="_xlnm.Print_Area" localSheetId="4">'Capital Costs'!$A$1:$I$38</definedName>
    <definedName name="_xlnm.Print_Area" localSheetId="5">'Details'!$A$1:$J$474</definedName>
    <definedName name="_xlnm.Print_Area" localSheetId="2">'Input'!$A$1:$I$127</definedName>
    <definedName name="_xlnm.Print_Area" localSheetId="0">'Introduction'!$A$1:$K$40</definedName>
    <definedName name="_xlnm.Print_Area" localSheetId="1">'Summary'!$A$1:$K$54</definedName>
  </definedNames>
  <calcPr fullCalcOnLoad="1"/>
</workbook>
</file>

<file path=xl/comments3.xml><?xml version="1.0" encoding="utf-8"?>
<comments xmlns="http://schemas.openxmlformats.org/spreadsheetml/2006/main">
  <authors>
    <author>roberry</author>
    <author>Roy Arnott</author>
  </authors>
  <commentList>
    <comment ref="B3" authorId="0">
      <text>
        <r>
          <rPr>
            <sz val="9"/>
            <rFont val="Tahoma"/>
            <family val="2"/>
          </rPr>
          <t>Based on 50th percentile DHI data for MB (2011)</t>
        </r>
      </text>
    </comment>
    <comment ref="G12" authorId="1">
      <text>
        <r>
          <rPr>
            <sz val="9"/>
            <rFont val="Tahoma"/>
            <family val="2"/>
          </rPr>
          <t>Calculated by average production of 31.5 L at 3.85%BF</t>
        </r>
      </text>
    </comment>
  </commentList>
</comments>
</file>

<file path=xl/comments4.xml><?xml version="1.0" encoding="utf-8"?>
<comments xmlns="http://schemas.openxmlformats.org/spreadsheetml/2006/main">
  <authors>
    <author>Peter Blawat</author>
    <author>roberry</author>
  </authors>
  <commentList>
    <comment ref="B63" authorId="0">
      <text>
        <r>
          <rPr>
            <sz val="8"/>
            <rFont val="Tahoma"/>
            <family val="2"/>
          </rPr>
          <t xml:space="preserve">Amount is based on total liquid in the manure pit. Includes manure and all runoff into the pit.
</t>
        </r>
      </text>
    </comment>
    <comment ref="B90" authorId="0">
      <text>
        <r>
          <rPr>
            <sz val="8"/>
            <rFont val="Tahoma"/>
            <family val="2"/>
          </rPr>
          <t xml:space="preserve">Assumed relief worker hired for 2 weeks during the year at $175 per day, for a total of $2450
.
</t>
        </r>
      </text>
    </comment>
    <comment ref="G31" authorId="1">
      <text>
        <r>
          <rPr>
            <sz val="9"/>
            <rFont val="Tahoma"/>
            <family val="2"/>
          </rPr>
          <t>based on $1.97 per hl shipped</t>
        </r>
      </text>
    </comment>
    <comment ref="G63" authorId="1">
      <text>
        <r>
          <rPr>
            <sz val="9"/>
            <rFont val="Tahoma"/>
            <family val="2"/>
          </rPr>
          <t>based on 3.5 cu ft/cow/day</t>
        </r>
      </text>
    </comment>
  </commentList>
</comments>
</file>

<file path=xl/sharedStrings.xml><?xml version="1.0" encoding="utf-8"?>
<sst xmlns="http://schemas.openxmlformats.org/spreadsheetml/2006/main" count="2036" uniqueCount="472">
  <si>
    <t xml:space="preserve"> </t>
  </si>
  <si>
    <t/>
  </si>
  <si>
    <t>Breed of Herd</t>
  </si>
  <si>
    <t xml:space="preserve">          </t>
  </si>
  <si>
    <t xml:space="preserve">     </t>
  </si>
  <si>
    <t>Holstein</t>
  </si>
  <si>
    <t>Herd Identification</t>
  </si>
  <si>
    <t>Registered</t>
  </si>
  <si>
    <t>Yes</t>
  </si>
  <si>
    <t>Herd Size:</t>
  </si>
  <si>
    <t>Total Lactating &amp; Dry</t>
  </si>
  <si>
    <t>Cows</t>
  </si>
  <si>
    <t>Lactating Cows</t>
  </si>
  <si>
    <t>Dry Cows</t>
  </si>
  <si>
    <t>Milking Herd Composition:</t>
  </si>
  <si>
    <t>Daily Kgs BF Quota Holding:</t>
  </si>
  <si>
    <t>Kgs BF for the herd</t>
  </si>
  <si>
    <t>Kgs</t>
  </si>
  <si>
    <t>Performance Statistics for Milking Herd:</t>
  </si>
  <si>
    <t>Litres</t>
  </si>
  <si>
    <t>Kgs BF/hl Milk</t>
  </si>
  <si>
    <t>Kgs Protein/hl Milk</t>
  </si>
  <si>
    <t xml:space="preserve">Average Calving Interval </t>
  </si>
  <si>
    <t>Months</t>
  </si>
  <si>
    <t>Average Days Dry</t>
  </si>
  <si>
    <t>Days</t>
  </si>
  <si>
    <t>Average Milk Somatic Cell Count (SCC)</t>
  </si>
  <si>
    <t>&lt;150,000</t>
  </si>
  <si>
    <t>lbs</t>
  </si>
  <si>
    <t>Other Herd Management Parameters:</t>
  </si>
  <si>
    <t>Regular Herd Health Program</t>
  </si>
  <si>
    <t>Complete Herd Vaccination Program</t>
  </si>
  <si>
    <t>Market Value of Animals:</t>
  </si>
  <si>
    <t>Average Value of Milking Herd</t>
  </si>
  <si>
    <t>Average Value of Replacement Stock</t>
  </si>
  <si>
    <t>Average Value of Bull Calves at 2 weeks</t>
  </si>
  <si>
    <t>2.02  Bedding</t>
  </si>
  <si>
    <t xml:space="preserve">     Number of Tonnes/Cow/Year</t>
  </si>
  <si>
    <t xml:space="preserve">     Cost per Tonne</t>
  </si>
  <si>
    <t xml:space="preserve">         Price/Vial of Semen</t>
  </si>
  <si>
    <t xml:space="preserve">         Service Charge per Visit</t>
  </si>
  <si>
    <t xml:space="preserve">         Number of Services/Conception</t>
  </si>
  <si>
    <t>2.05  Dairy Supplies</t>
  </si>
  <si>
    <t xml:space="preserve">       Chlorine, Filters, Soap, Acid,</t>
  </si>
  <si>
    <t xml:space="preserve">       Udder Wash, Teat Dip, etc.</t>
  </si>
  <si>
    <t>($/year)</t>
  </si>
  <si>
    <t xml:space="preserve">       Transportation ($/hl)</t>
  </si>
  <si>
    <t xml:space="preserve">       Product promotion fee ($/hl)</t>
  </si>
  <si>
    <t xml:space="preserve">       DHI Fee ($/hl)</t>
  </si>
  <si>
    <t>2.07  Operating, Maintenance &amp; Repairs</t>
  </si>
  <si>
    <t xml:space="preserve">         Annual Repairs &amp; Maintenance </t>
  </si>
  <si>
    <t>2.08  Utilities</t>
  </si>
  <si>
    <t xml:space="preserve">       Hydro</t>
  </si>
  <si>
    <t xml:space="preserve">       Telephone Costs</t>
  </si>
  <si>
    <t>2.09  Insurance</t>
  </si>
  <si>
    <t xml:space="preserve">       Cost per $100 Capital Invested in</t>
  </si>
  <si>
    <t xml:space="preserve">          a). Livestock</t>
  </si>
  <si>
    <t xml:space="preserve">          b). Building &amp; Equipment</t>
  </si>
  <si>
    <t xml:space="preserve">       Additional Coverage for liability ($/yr)</t>
  </si>
  <si>
    <t>2.10  Manure Removal</t>
  </si>
  <si>
    <t xml:space="preserve">       Annual Cost for Removal</t>
  </si>
  <si>
    <t>Heifers</t>
  </si>
  <si>
    <t>Bulls</t>
  </si>
  <si>
    <t>Mortality on Calves</t>
  </si>
  <si>
    <t>Death Loss on Milk Herd</t>
  </si>
  <si>
    <t>2.12  Administrative Costs</t>
  </si>
  <si>
    <t xml:space="preserve">       Total yearly expense including expenses</t>
  </si>
  <si>
    <t xml:space="preserve">       relating to farm records &amp; admin.</t>
  </si>
  <si>
    <t>2.13  Property Taxes</t>
  </si>
  <si>
    <t xml:space="preserve">       Dairy Barn</t>
  </si>
  <si>
    <t>Value</t>
  </si>
  <si>
    <t>Percentage taxed</t>
  </si>
  <si>
    <t>Mill rate</t>
  </si>
  <si>
    <t xml:space="preserve">       House</t>
  </si>
  <si>
    <t>Small tools, hardware etc.</t>
  </si>
  <si>
    <t>(%)</t>
  </si>
  <si>
    <t>(YRS)</t>
  </si>
  <si>
    <t xml:space="preserve">Barn Equipment </t>
  </si>
  <si>
    <t>per cow</t>
  </si>
  <si>
    <t xml:space="preserve">    Hours/Cow/Year</t>
  </si>
  <si>
    <t>A.  Operating Costs</t>
  </si>
  <si>
    <t>$/HL</t>
  </si>
  <si>
    <t>Your Farm</t>
  </si>
  <si>
    <t>1.  Feed Costs:</t>
  </si>
  <si>
    <t xml:space="preserve">    1.01  Lactating Cows</t>
  </si>
  <si>
    <t xml:space="preserve">    1.02  Dry Cows</t>
  </si>
  <si>
    <t xml:space="preserve">    Total Feed Cost</t>
  </si>
  <si>
    <t>2.  Other Operating Costs:</t>
  </si>
  <si>
    <t xml:space="preserve">    2.01  Milk Recording &amp; Registrations</t>
  </si>
  <si>
    <t xml:space="preserve">    2.02  Bedding</t>
  </si>
  <si>
    <t xml:space="preserve">    2.03  Vet. Medicine &amp; Supplies</t>
  </si>
  <si>
    <t xml:space="preserve">    2.04  Breeding Costs</t>
  </si>
  <si>
    <t xml:space="preserve">    2.05  Dairy Supplies</t>
  </si>
  <si>
    <t xml:space="preserve">    2.06  Marketing &amp; Transportation</t>
  </si>
  <si>
    <t xml:space="preserve">    2.07  Operating, Repair &amp; Maintenance</t>
  </si>
  <si>
    <t xml:space="preserve">    2.08  Utilities</t>
  </si>
  <si>
    <t xml:space="preserve">    2.09  Insurance</t>
  </si>
  <si>
    <t xml:space="preserve">    2.10  Manure Removal</t>
  </si>
  <si>
    <t xml:space="preserve">    2.11  Herd Replacement</t>
  </si>
  <si>
    <t xml:space="preserve">    2.12  Administrative Costs</t>
  </si>
  <si>
    <t xml:space="preserve">    2.13  Property Taxes</t>
  </si>
  <si>
    <t xml:space="preserve">    2.14  Miscellaneous</t>
  </si>
  <si>
    <t xml:space="preserve">    Subtotal Operating Costs</t>
  </si>
  <si>
    <t xml:space="preserve">    2.15  Operating Interest</t>
  </si>
  <si>
    <t>Total Operating Costs</t>
  </si>
  <si>
    <t>3.  Depreciation</t>
  </si>
  <si>
    <t xml:space="preserve">    3.02  Machinery &amp; Equipment</t>
  </si>
  <si>
    <t>4.  Investment</t>
  </si>
  <si>
    <t xml:space="preserve">    4.02  Machinery &amp; Equipment</t>
  </si>
  <si>
    <t xml:space="preserve">    4.03  Livestock</t>
  </si>
  <si>
    <t>Total Fixed Costs</t>
  </si>
  <si>
    <t>TOTAL OPERATING AND FIXED COSTS</t>
  </si>
  <si>
    <t>C.  Labour Cost</t>
  </si>
  <si>
    <t>TOTAL COST OF PRODUCTION</t>
  </si>
  <si>
    <t>A.  OPERATING COSTS</t>
  </si>
  <si>
    <t>x</t>
  </si>
  <si>
    <t>days on forage</t>
  </si>
  <si>
    <t>÷</t>
  </si>
  <si>
    <t>/tonne</t>
  </si>
  <si>
    <t>=</t>
  </si>
  <si>
    <t>/cow/year</t>
  </si>
  <si>
    <t>+</t>
  </si>
  <si>
    <t>herd fee</t>
  </si>
  <si>
    <t>milking cows</t>
  </si>
  <si>
    <t>tonnes/cow/year</t>
  </si>
  <si>
    <t>/hour charge</t>
  </si>
  <si>
    <t>hours</t>
  </si>
  <si>
    <t>rate/km</t>
  </si>
  <si>
    <t>visits</t>
  </si>
  <si>
    <t>sum of sub-totals</t>
  </si>
  <si>
    <t>Semen</t>
  </si>
  <si>
    <t>/vial of semen</t>
  </si>
  <si>
    <t>services/conception</t>
  </si>
  <si>
    <t>Services</t>
  </si>
  <si>
    <t>Total</t>
  </si>
  <si>
    <t>total yearly cost</t>
  </si>
  <si>
    <t>transportation ($/hl)</t>
  </si>
  <si>
    <t>MMP admin ($/hl)</t>
  </si>
  <si>
    <t>product promo ($/hl)</t>
  </si>
  <si>
    <t>DHI fee ($/hl)</t>
  </si>
  <si>
    <t>/hl</t>
  </si>
  <si>
    <t>hl/cow</t>
  </si>
  <si>
    <t>hydro</t>
  </si>
  <si>
    <t>telephone</t>
  </si>
  <si>
    <t>invest in bldg &amp; equip</t>
  </si>
  <si>
    <t>units of $100</t>
  </si>
  <si>
    <t>insurance rate/$100</t>
  </si>
  <si>
    <t>/cow average value</t>
  </si>
  <si>
    <t>annual removal cost</t>
  </si>
  <si>
    <t>total</t>
  </si>
  <si>
    <t>-</t>
  </si>
  <si>
    <t>net replacement cost</t>
  </si>
  <si>
    <t>total admin. costs</t>
  </si>
  <si>
    <t>building value</t>
  </si>
  <si>
    <t>percent taxed</t>
  </si>
  <si>
    <t>mill rate</t>
  </si>
  <si>
    <t>house value</t>
  </si>
  <si>
    <t>total cost</t>
  </si>
  <si>
    <t xml:space="preserve">   one-half of the subtotal operating cost.)</t>
  </si>
  <si>
    <t>subtotal operating costs</t>
  </si>
  <si>
    <t>months</t>
  </si>
  <si>
    <t>average</t>
  </si>
  <si>
    <t>interest rate</t>
  </si>
  <si>
    <t>B.  FIXED COSTS</t>
  </si>
  <si>
    <t>3.  Depreciation:</t>
  </si>
  <si>
    <t>Original Cost - Salvage Value</t>
  </si>
  <si>
    <t xml:space="preserve">             Useful Life</t>
  </si>
  <si>
    <t>original value</t>
  </si>
  <si>
    <t>salvage value</t>
  </si>
  <si>
    <t>years useful life</t>
  </si>
  <si>
    <t>cows</t>
  </si>
  <si>
    <t>Manure Storage</t>
  </si>
  <si>
    <t xml:space="preserve">           Milkhouse</t>
  </si>
  <si>
    <t>Bulk  Tank</t>
  </si>
  <si>
    <t>Bunker Silo</t>
  </si>
  <si>
    <t>Hay Shed</t>
  </si>
  <si>
    <t>Steel Bins</t>
  </si>
  <si>
    <t>Barn Equipment</t>
  </si>
  <si>
    <t>4.  Investment:</t>
  </si>
  <si>
    <t>Original Cost + Salvage Value</t>
  </si>
  <si>
    <t>x Investment Rate</t>
  </si>
  <si>
    <t xml:space="preserve">                     2</t>
  </si>
  <si>
    <t xml:space="preserve">investment rate </t>
  </si>
  <si>
    <t>Bulk Tank</t>
  </si>
  <si>
    <t xml:space="preserve">Total </t>
  </si>
  <si>
    <t>average value/cow</t>
  </si>
  <si>
    <t>C.  Labour:</t>
  </si>
  <si>
    <t>hours/cow/year</t>
  </si>
  <si>
    <t>/hour</t>
  </si>
  <si>
    <t>Average Value of Cull Cows (slaughter &amp; dairy)</t>
  </si>
  <si>
    <t>Budget Guidelines for a</t>
  </si>
  <si>
    <t>days on silage</t>
  </si>
  <si>
    <t>TMR Grain Mix</t>
  </si>
  <si>
    <t>1.013 Salt, Min &amp; Vitamins</t>
  </si>
  <si>
    <t>1.012 TMR Grain Mix</t>
  </si>
  <si>
    <t>Days on</t>
  </si>
  <si>
    <t>Feed</t>
  </si>
  <si>
    <t>Average Value of Heifer Calves at 2 weeks</t>
  </si>
  <si>
    <t xml:space="preserve">Purchases </t>
  </si>
  <si>
    <t># of heifers purchased</t>
  </si>
  <si>
    <t>total heifer cost</t>
  </si>
  <si>
    <t>Cull revenues</t>
  </si>
  <si>
    <t># of cows culled</t>
  </si>
  <si>
    <t xml:space="preserve">cull cow value </t>
  </si>
  <si>
    <t># of bull calves sold</t>
  </si>
  <si>
    <t>total purchase cost</t>
  </si>
  <si>
    <t>Available for sale</t>
  </si>
  <si>
    <t>Bull Sales</t>
  </si>
  <si>
    <t>Heifer sales</t>
  </si>
  <si>
    <t xml:space="preserve">       Volume Charge ($/hl)</t>
  </si>
  <si>
    <t xml:space="preserve">       Stop Charge every 2nd day</t>
  </si>
  <si>
    <t>Nutrient Description of Forage</t>
  </si>
  <si>
    <t>Dry Matter</t>
  </si>
  <si>
    <t>Net Energy of Lactation</t>
  </si>
  <si>
    <t>Total Digestible Nutrients</t>
  </si>
  <si>
    <t>Crude Protein</t>
  </si>
  <si>
    <t>Acid Detergent Free</t>
  </si>
  <si>
    <t>Neutral Detergent Free</t>
  </si>
  <si>
    <t>Relative Feed Value</t>
  </si>
  <si>
    <t>%</t>
  </si>
  <si>
    <t>Mcal/kg</t>
  </si>
  <si>
    <t>TDN</t>
  </si>
  <si>
    <t>CP</t>
  </si>
  <si>
    <t>ADF</t>
  </si>
  <si>
    <t>NDF</t>
  </si>
  <si>
    <t>RFV</t>
  </si>
  <si>
    <t>tonne</t>
  </si>
  <si>
    <t>Approximate dry matter (DM) equivalents for hay, legume silage and corn silage</t>
  </si>
  <si>
    <t>Machinery</t>
  </si>
  <si>
    <t>Barn</t>
  </si>
  <si>
    <t>Emergency Calls</t>
  </si>
  <si>
    <t>Building &amp; Equipment</t>
  </si>
  <si>
    <t>Herd</t>
  </si>
  <si>
    <t>Liability</t>
  </si>
  <si>
    <t>Salvage</t>
  </si>
  <si>
    <t>Life</t>
  </si>
  <si>
    <t>Total Building, Equipment, Machinery</t>
  </si>
  <si>
    <t>Total Capital Investment</t>
  </si>
  <si>
    <t xml:space="preserve">Useful </t>
  </si>
  <si>
    <t xml:space="preserve">Barn </t>
  </si>
  <si>
    <t>Earthen Manure Storage</t>
  </si>
  <si>
    <t>Steel Grain Bin</t>
  </si>
  <si>
    <t xml:space="preserve">Total Buildings </t>
  </si>
  <si>
    <t>Buildings &amp; Storage</t>
  </si>
  <si>
    <t>Other Equipment</t>
  </si>
  <si>
    <t xml:space="preserve">Dairy Cow Investment </t>
  </si>
  <si>
    <t>Operating Interest Rate</t>
  </si>
  <si>
    <t>Investment Rate</t>
  </si>
  <si>
    <t>B.  Fixed Costs</t>
  </si>
  <si>
    <t>Portable Mixer Wagon</t>
  </si>
  <si>
    <t>Dry Cow/Heifer Facility</t>
  </si>
  <si>
    <t>TMR Silage</t>
  </si>
  <si>
    <t>$/kg</t>
  </si>
  <si>
    <t>$/tonne</t>
  </si>
  <si>
    <t>1.011 TMR Silage</t>
  </si>
  <si>
    <t>kgs/tonne</t>
  </si>
  <si>
    <t>1.021  Far Away Dry Cow</t>
  </si>
  <si>
    <t>kgs grain mix/cow/day</t>
  </si>
  <si>
    <t>days on grain mix</t>
  </si>
  <si>
    <t xml:space="preserve">                Total</t>
  </si>
  <si>
    <t>1st Lactation Animals (26% of herd)</t>
  </si>
  <si>
    <t>2nd Lactation+ Animals (74% of herd)</t>
  </si>
  <si>
    <t>Calving %</t>
  </si>
  <si>
    <t>Loss %</t>
  </si>
  <si>
    <t>Storage</t>
  </si>
  <si>
    <t>Forage (Hay)</t>
  </si>
  <si>
    <t>Feeding</t>
  </si>
  <si>
    <t>Storage/</t>
  </si>
  <si>
    <t xml:space="preserve">Dry Cow Grain Mix </t>
  </si>
  <si>
    <t>TMR Lactating Ration</t>
  </si>
  <si>
    <r>
      <t>Close-Up Dry Cows</t>
    </r>
    <r>
      <rPr>
        <sz val="12"/>
        <rFont val="Arial"/>
        <family val="2"/>
      </rPr>
      <t xml:space="preserve"> (from 15 days prior to calving up to calving)</t>
    </r>
  </si>
  <si>
    <t>Milking Parlour</t>
  </si>
  <si>
    <t>kgs TMR mix/cow/day</t>
  </si>
  <si>
    <t>CAPITAL INVESTMENT</t>
  </si>
  <si>
    <t>Buildings, Equipment, Machinery &amp; Cows</t>
  </si>
  <si>
    <t xml:space="preserve">    Drugs, vaccines, vet supplies</t>
  </si>
  <si>
    <t>call fee</t>
  </si>
  <si>
    <t>hourly fee</t>
  </si>
  <si>
    <t>SCC fee</t>
  </si>
  <si>
    <t>registration fee</t>
  </si>
  <si>
    <t>breed association fee</t>
  </si>
  <si>
    <t>total for herd</t>
  </si>
  <si>
    <t>1.01  Lactating Cows</t>
  </si>
  <si>
    <t>1.02  Dry Cows</t>
  </si>
  <si>
    <t xml:space="preserve">2.03  Veterinary Medicine &amp; Supplies </t>
  </si>
  <si>
    <t>2.04  Breeding Costs</t>
  </si>
  <si>
    <t>2.06  Marketing &amp; Transportation</t>
  </si>
  <si>
    <t>2.11  Herd Replacement</t>
  </si>
  <si>
    <t>2.15  Operating Interest  (Operating Interest is paid monthly on</t>
  </si>
  <si>
    <t>3.01  Buildings:</t>
  </si>
  <si>
    <t>3.02  Other Equipment &amp; Machinery</t>
  </si>
  <si>
    <t>4.01  Buildings:</t>
  </si>
  <si>
    <t>4.02  Equipment &amp; Machinery:</t>
  </si>
  <si>
    <t>4.03  Livestock:</t>
  </si>
  <si>
    <t xml:space="preserve">          b). Business Interruption</t>
  </si>
  <si>
    <t>Milk Price/hl</t>
  </si>
  <si>
    <t>TMR Salt, Min &amp; Vit</t>
  </si>
  <si>
    <t>A. Herd Management Profile</t>
  </si>
  <si>
    <t>B. Feed Requirements and Costs</t>
  </si>
  <si>
    <t>On a DHI Milk Recording Program</t>
  </si>
  <si>
    <t xml:space="preserve">Kgs BF/Lactating Cow </t>
  </si>
  <si>
    <r>
      <t>Far Away Dry Cows</t>
    </r>
    <r>
      <rPr>
        <sz val="12"/>
        <rFont val="Arial"/>
        <family val="2"/>
      </rPr>
      <t xml:space="preserve"> (from drying off to 16 days before calving)</t>
    </r>
  </si>
  <si>
    <t xml:space="preserve">Rate on building investment </t>
  </si>
  <si>
    <t xml:space="preserve">Rate on machinery investment </t>
  </si>
  <si>
    <t xml:space="preserve">Dairy Cow Herd Investment </t>
  </si>
  <si>
    <t>2.01  Milk Recording &amp; Registration (Publishable (P) 10 AP; 2 hours/milking)</t>
  </si>
  <si>
    <t>With each cow having a dry period of 6 to 8 weeks, this budget assumes that all cows will receive 9 of the 10 DHI tests conducted per year.</t>
  </si>
  <si>
    <t xml:space="preserve">   Herd Fee</t>
  </si>
  <si>
    <t xml:space="preserve">   Call Fee</t>
  </si>
  <si>
    <t xml:space="preserve">   Milking Cow Fee</t>
  </si>
  <si>
    <t xml:space="preserve">   Hourly Fee</t>
  </si>
  <si>
    <t xml:space="preserve">  SCC Fee (Option)</t>
  </si>
  <si>
    <t xml:space="preserve">   Registration fees/head</t>
  </si>
  <si>
    <t xml:space="preserve">   Breed Association fee total</t>
  </si>
  <si>
    <t>payments</t>
  </si>
  <si>
    <t>$/payment</t>
  </si>
  <si>
    <t># of tests</t>
  </si>
  <si>
    <t>$/test</t>
  </si>
  <si>
    <t>$/cow</t>
  </si>
  <si>
    <t>C.  Replacement Cost</t>
  </si>
  <si>
    <t>Calf Value</t>
  </si>
  <si>
    <t>kgs salt,min,vit/cow/day</t>
  </si>
  <si>
    <t>days on salt,min,vit</t>
  </si>
  <si>
    <t>kg storage/wastage loss</t>
  </si>
  <si>
    <t>Mileage(Herd Health)</t>
  </si>
  <si>
    <t>/visit service charge</t>
  </si>
  <si>
    <t>additional coverage</t>
  </si>
  <si>
    <t>heifer market value</t>
  </si>
  <si>
    <t>bull calf value</t>
  </si>
  <si>
    <t>heifer calf value</t>
  </si>
  <si>
    <t>2.14  Miscellaneous (small tools, hardware,etc.)</t>
  </si>
  <si>
    <t>Mileage (Emergency)</t>
  </si>
  <si>
    <t xml:space="preserve">       1.011  TMR Silage</t>
  </si>
  <si>
    <t xml:space="preserve">       1.012  TMR Grain Mix</t>
  </si>
  <si>
    <t xml:space="preserve">       1.013  TMR Salt,Min &amp; Vitamins</t>
  </si>
  <si>
    <t xml:space="preserve">       1.021  Far Away</t>
  </si>
  <si>
    <t xml:space="preserve">       1.022  Close Up</t>
  </si>
  <si>
    <t>Average Dry Cow Bodyweight (lbs)</t>
  </si>
  <si>
    <t>Average Lactating Cow Bodyweight (lbs)</t>
  </si>
  <si>
    <t>Average Death Loss % on Milking Herd</t>
  </si>
  <si>
    <t>Calves Born</t>
  </si>
  <si>
    <t>Cull Cows sold (dairy &amp; slaughter)</t>
  </si>
  <si>
    <t>kg TMR silage wastage loss</t>
  </si>
  <si>
    <t>kg TMR silage storage loss</t>
  </si>
  <si>
    <t>kg TMR grain mix wastage loss</t>
  </si>
  <si>
    <t>kg TMR salt/min/vit wastage loss</t>
  </si>
  <si>
    <t>Dry Cow Grain Mix</t>
  </si>
  <si>
    <t xml:space="preserve"> Forage</t>
  </si>
  <si>
    <t xml:space="preserve"> Dry Cow Grain Mix</t>
  </si>
  <si>
    <t xml:space="preserve"> Total</t>
  </si>
  <si>
    <t>kgs dry cow grain mix/cow/day</t>
  </si>
  <si>
    <t xml:space="preserve"> TMR Lactating Ration</t>
  </si>
  <si>
    <t>transferred to heifer enterprise</t>
  </si>
  <si>
    <t>Total Equipment</t>
  </si>
  <si>
    <t>Total Machinery</t>
  </si>
  <si>
    <t>Drugs/Vaccines/ Vet Supplies</t>
  </si>
  <si>
    <t>D.  Herd Health and Veterinary Medicine</t>
  </si>
  <si>
    <t xml:space="preserve">    Regular Herd Health Program</t>
  </si>
  <si>
    <t xml:space="preserve">            Total Hours/Visit</t>
  </si>
  <si>
    <t xml:space="preserve">            Number of Yearly Visits</t>
  </si>
  <si>
    <t xml:space="preserve">            Charge per Hour</t>
  </si>
  <si>
    <t xml:space="preserve">            Total Kilometers (one way trip)</t>
  </si>
  <si>
    <t xml:space="preserve">            Mileage allowance per kilometer</t>
  </si>
  <si>
    <t>Transfer % to Heifer Enterprise</t>
  </si>
  <si>
    <t xml:space="preserve">Kgs </t>
  </si>
  <si>
    <t>Consumed</t>
  </si>
  <si>
    <t>All feeds including forages, concentrates and supplements are priced at current market values. By doing this, consistency is maintained in how key inputs (i.e. feeds; replacement heifers) are expensed and included in the dairy budget. The cost figures listed in this budget guideline are estimates based on accepted industry practices and current market conditions.</t>
  </si>
  <si>
    <t>Per Cow/Day</t>
  </si>
  <si>
    <t xml:space="preserve">Value of Cull Cows sold for dairy &amp; slaughter </t>
  </si>
  <si>
    <t>The herd is enrolled on a scheduled herd health veterinary program with reproductive and routine health screening done each month.</t>
  </si>
  <si>
    <t>kgs silage consumed/cow/day</t>
  </si>
  <si>
    <t>kgs forage consumed/cow/day</t>
  </si>
  <si>
    <t xml:space="preserve">milking cow fee </t>
  </si>
  <si>
    <t>association fee</t>
  </si>
  <si>
    <t>Herd Health</t>
  </si>
  <si>
    <t>total sales</t>
  </si>
  <si>
    <r>
      <t>Milking Parlour</t>
    </r>
    <r>
      <rPr>
        <sz val="12"/>
        <rFont val="Arial"/>
        <family val="0"/>
      </rPr>
      <t xml:space="preserve"> - Double 8 Parallel Parlour (56 ft x 76 ft) &amp; milkhouse fully equipped (site excavation, concrete, shell, electrical, water, milkers, vacuum pump, automatic crowd gates, automatic take-offs, milk meters, complete fencing for holding area)</t>
    </r>
  </si>
  <si>
    <t>TMR</t>
  </si>
  <si>
    <r>
      <t>Dry Cow/Heifer Facility</t>
    </r>
    <r>
      <rPr>
        <sz val="12"/>
        <rFont val="Arial"/>
        <family val="0"/>
      </rPr>
      <t xml:space="preserve"> - includes open front loafing shed (32x48x12), sloping concrete apron, 16 ft gates, 2 water drinkers, hydro, manure storage, fenceline concrete bunker, loading chute.</t>
    </r>
  </si>
  <si>
    <t xml:space="preserve">Average % Culling Rate on Milking Herd </t>
  </si>
  <si>
    <t>kilometers (one way)</t>
  </si>
  <si>
    <t>Other Operating Costs</t>
  </si>
  <si>
    <t>Bedding</t>
  </si>
  <si>
    <t>Breeding</t>
  </si>
  <si>
    <t>Dairy Supplies</t>
  </si>
  <si>
    <t>Transportation, Administration</t>
  </si>
  <si>
    <t>Operating, Maintenance &amp; Repairs</t>
  </si>
  <si>
    <t>Utilities</t>
  </si>
  <si>
    <t>Insurance</t>
  </si>
  <si>
    <t>Manure Removal</t>
  </si>
  <si>
    <t>Administrative Costs</t>
  </si>
  <si>
    <t>Property Taxes</t>
  </si>
  <si>
    <t>Miscellaneous</t>
  </si>
  <si>
    <t>LABOR COSTS</t>
  </si>
  <si>
    <t>Business Interruption</t>
  </si>
  <si>
    <t>Milk Herd Culling Rate (includes 4% death loss)</t>
  </si>
  <si>
    <t>Land, Buildings &amp; Storage</t>
  </si>
  <si>
    <t>Land</t>
  </si>
  <si>
    <t>total value</t>
  </si>
  <si>
    <t>investment rate</t>
  </si>
  <si>
    <t xml:space="preserve">    4.01  Land, Buildings &amp; Storage</t>
  </si>
  <si>
    <t xml:space="preserve">    3.01  Buildings &amp; Storage</t>
  </si>
  <si>
    <t>Dry Cow/Close Up Heifer Facility</t>
  </si>
  <si>
    <t>1.022  Close Up Dry Cow</t>
  </si>
  <si>
    <t>replacement heifer number/year</t>
  </si>
  <si>
    <t>Litres Milk/Cow/Lactation Period</t>
  </si>
  <si>
    <t>Kgs BF/Cow/Lactation Period</t>
  </si>
  <si>
    <t>Average Days Lactation</t>
  </si>
  <si>
    <t>Rob Berry</t>
  </si>
  <si>
    <t>Date:</t>
  </si>
  <si>
    <t>Estimated operating costs per hl</t>
  </si>
  <si>
    <t xml:space="preserve">Dry Cows </t>
  </si>
  <si>
    <t>$/hl (average price of milk)</t>
  </si>
  <si>
    <t>hl/cow (production/cow)</t>
  </si>
  <si>
    <t xml:space="preserve">       Daily manure produced (gallons/cow)</t>
  </si>
  <si>
    <t xml:space="preserve">       Removal cost $/gallon</t>
  </si>
  <si>
    <t xml:space="preserve">Total Land &amp; Buildings </t>
  </si>
  <si>
    <t>Earthen Manure Storage - 12 month capacity</t>
  </si>
  <si>
    <t>Bulk Tank - (3,000 U.S. gallon) and compressor completely installed.</t>
  </si>
  <si>
    <t>Bunker Silo - (130' x 75' x10')</t>
  </si>
  <si>
    <t>Hay Shed - (50' x 64')</t>
  </si>
  <si>
    <t xml:space="preserve">    Hourly Rate</t>
  </si>
  <si>
    <t xml:space="preserve">    Dairy Relief Milker Cost</t>
  </si>
  <si>
    <t>Relief Milker</t>
  </si>
  <si>
    <t>Total Labour</t>
  </si>
  <si>
    <t xml:space="preserve">    =   3.1 tonne of 46% DM alfalfa balage @</t>
  </si>
  <si>
    <t xml:space="preserve">The primary objective of this publication is to provide a budget format for determining costs to operate a dairy enterprise.  The case herd used in this budgeting guide is larger than average and of a freestall/parlour design; however, the budgeting format can be applied to any Manitoba dairy.  Adjustments to this guide due to herd size, production level and facility type will be necessary when applying the cost figures to more accurately reflect your enterprise. Note: the cost of Quota is not included in this budget.                                               </t>
  </si>
  <si>
    <t xml:space="preserve">      Emergency Calls, Surgeries &amp; Hoof Trimming </t>
  </si>
  <si>
    <t xml:space="preserve">       DFM Administration ($/hl)</t>
  </si>
  <si>
    <t xml:space="preserve">         1.0 tonne of 87% DM hay @</t>
  </si>
  <si>
    <t>Average Milk Bacteria Count (IBC)</t>
  </si>
  <si>
    <t>&lt;10,000</t>
  </si>
  <si>
    <t>Silage storage</t>
  </si>
  <si>
    <t>Roy Arnott</t>
  </si>
  <si>
    <t>Milk Recording &amp; Registration : see also http://www.canwestdhi.com/feecalc/Mb/DhiCalculatorV2002/dhiCalculator.htm</t>
  </si>
  <si>
    <t>$/Cow</t>
  </si>
  <si>
    <t>Truck  (dairy portion $60,000 @80%)</t>
  </si>
  <si>
    <t>Miscellaneous Machinery</t>
  </si>
  <si>
    <t>Tractor &amp; Loader  (dairy portion $120,000 @80%)</t>
  </si>
  <si>
    <t>Other equipment (shredder)</t>
  </si>
  <si>
    <r>
      <t>Barn</t>
    </r>
    <r>
      <rPr>
        <sz val="12"/>
        <rFont val="Arial"/>
        <family val="0"/>
      </rPr>
      <t xml:space="preserve"> - 120 Stall Freestall Barn (86 ft x 139 ft) fully equipped (including site excavation, concrete, shell, electrical, ventilation, automatic scrapers, manure pump, water). 120 stalls @ $2,917/stall</t>
    </r>
  </si>
  <si>
    <t>Business Development Specialist - Dairy</t>
  </si>
  <si>
    <t>Benjamin Hamm</t>
  </si>
  <si>
    <t xml:space="preserve">This tool is available as an Excel worksheet at: </t>
  </si>
  <si>
    <t>or at your local</t>
  </si>
  <si>
    <t xml:space="preserve">. . . . . . . . . . . . . . . . . . . . . . . . . . . . . . . . . . . . . . . . . . . . . . . . . . . . . . . . . . </t>
  </si>
  <si>
    <r>
      <t>Note:</t>
    </r>
    <r>
      <rPr>
        <sz val="10"/>
        <rFont val="Arial"/>
        <family val="2"/>
      </rPr>
      <t xml:space="preserve"> This budget is only a guide and is not intended as an in-depth study of the cost of production of this industry. Interpretation and utilization of this information is the responsibility of the user. No liability for decisions based on this publication is assumed. </t>
    </r>
  </si>
  <si>
    <t>Dairy Production Costs - Input</t>
  </si>
  <si>
    <t>Dairy Production Cost Worksheet</t>
  </si>
  <si>
    <t xml:space="preserve">Created and maintained by </t>
  </si>
  <si>
    <t xml:space="preserve">For more information, contact your local </t>
  </si>
  <si>
    <t>http://www.canwestdhi.com/fee%20calculator.htm</t>
  </si>
  <si>
    <t>May, 2017</t>
  </si>
  <si>
    <r>
      <t>Note:</t>
    </r>
    <r>
      <rPr>
        <sz val="11"/>
        <rFont val="Arial"/>
        <family val="2"/>
      </rPr>
      <t xml:space="preserve"> This budget is only a guide and is not intended as an in-depth study of the cost of production of this industry. Interpretation and use of this information is the responsibility of the user.  If you need help with a budget, contact your local Manitoba Agriculture GO Office.</t>
    </r>
  </si>
  <si>
    <t xml:space="preserve">                                                                                          is also available to help</t>
  </si>
  <si>
    <t>determine machinery costs.</t>
  </si>
  <si>
    <t xml:space="preserve">Farm Management Specialist         </t>
  </si>
  <si>
    <t>/ kWh</t>
  </si>
  <si>
    <t>kWh per dairy cow @</t>
  </si>
  <si>
    <t>Diesel Fuel Cost</t>
  </si>
  <si>
    <t>/litre</t>
  </si>
  <si>
    <t>Tractor with Loader PTO hp</t>
  </si>
  <si>
    <t>Tractor Hours Per Day (average)</t>
  </si>
  <si>
    <t xml:space="preserve">  Machinery Fuel Costs - Feeding</t>
  </si>
  <si>
    <t>Machinery fuel cost - Tractor with Loader</t>
  </si>
  <si>
    <t>PTO hp</t>
  </si>
  <si>
    <t>avg HP required</t>
  </si>
  <si>
    <t>litres fuel/hour/hp</t>
  </si>
  <si>
    <t>hours per day</t>
  </si>
  <si>
    <t>diesel / litre</t>
  </si>
  <si>
    <t>days on feed</t>
  </si>
  <si>
    <t>annual fuel cost</t>
  </si>
</sst>
</file>

<file path=xl/styles.xml><?xml version="1.0" encoding="utf-8"?>
<styleSheet xmlns="http://schemas.openxmlformats.org/spreadsheetml/2006/main">
  <numFmts count="3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
    <numFmt numFmtId="167" formatCode="0.000000"/>
    <numFmt numFmtId="168" formatCode="#,##0_ ;\-#,##0\ "/>
    <numFmt numFmtId="169" formatCode="&quot;$&quot;#,##0"/>
    <numFmt numFmtId="170" formatCode="&quot;$&quot;#,##0.00"/>
    <numFmt numFmtId="171" formatCode="#,##0.0_ ;\-#,##0.0\ "/>
    <numFmt numFmtId="172" formatCode="0.00000"/>
    <numFmt numFmtId="173" formatCode="&quot;$&quot;#,##0.000;\-&quot;$&quot;#,##0.000"/>
    <numFmt numFmtId="174" formatCode="#,##0.0000"/>
    <numFmt numFmtId="175" formatCode="#,##0.00_ ;\-#,##0.00\ "/>
    <numFmt numFmtId="176" formatCode="&quot;$&quot;#,##0_);\(&quot;$&quot;#,##0\)"/>
    <numFmt numFmtId="177" formatCode="0.000"/>
    <numFmt numFmtId="178" formatCode="&quot;Yes&quot;;&quot;Yes&quot;;&quot;No&quot;"/>
    <numFmt numFmtId="179" formatCode="&quot;True&quot;;&quot;True&quot;;&quot;False&quot;"/>
    <numFmt numFmtId="180" formatCode="&quot;On&quot;;&quot;On&quot;;&quot;Off&quot;"/>
    <numFmt numFmtId="181" formatCode="[$€-2]\ #,##0.00_);[Red]\([$€-2]\ #,##0.00\)"/>
    <numFmt numFmtId="182" formatCode="&quot;$&quot;#,##0.000"/>
    <numFmt numFmtId="183" formatCode="&quot;$&quot;#,##0.0000;[Red]\-&quot;$&quot;#,##0.0000"/>
    <numFmt numFmtId="184" formatCode="&quot;$&quot;#,##0.00_);[Red]\(&quot;$&quot;#,##0.00\)"/>
    <numFmt numFmtId="185" formatCode="#,##0.0_);[Red]\(#,##0.0\)"/>
    <numFmt numFmtId="186" formatCode="#,##0.0000000"/>
    <numFmt numFmtId="187" formatCode="#,##0.00;[Red]#,##0.00"/>
  </numFmts>
  <fonts count="88">
    <font>
      <sz val="12"/>
      <name val="Arial"/>
      <family val="0"/>
    </font>
    <font>
      <sz val="11"/>
      <color indexed="8"/>
      <name val="Calibri"/>
      <family val="2"/>
    </font>
    <font>
      <b/>
      <u val="single"/>
      <sz val="12"/>
      <name val="Arial"/>
      <family val="2"/>
    </font>
    <font>
      <b/>
      <sz val="14"/>
      <name val="Arial"/>
      <family val="2"/>
    </font>
    <font>
      <b/>
      <sz val="12"/>
      <name val="Arial"/>
      <family val="2"/>
    </font>
    <font>
      <u val="single"/>
      <sz val="12"/>
      <name val="Arial"/>
      <family val="2"/>
    </font>
    <font>
      <i/>
      <u val="single"/>
      <sz val="12"/>
      <name val="Arial"/>
      <family val="2"/>
    </font>
    <font>
      <i/>
      <sz val="12"/>
      <name val="Arial"/>
      <family val="2"/>
    </font>
    <font>
      <b/>
      <sz val="18"/>
      <color indexed="21"/>
      <name val="Arial"/>
      <family val="2"/>
    </font>
    <font>
      <b/>
      <sz val="12"/>
      <color indexed="12"/>
      <name val="Arial"/>
      <family val="2"/>
    </font>
    <font>
      <sz val="14"/>
      <name val="Arial"/>
      <family val="2"/>
    </font>
    <font>
      <b/>
      <sz val="14"/>
      <color indexed="21"/>
      <name val="Arial"/>
      <family val="2"/>
    </font>
    <font>
      <sz val="14"/>
      <color indexed="21"/>
      <name val="Arial"/>
      <family val="2"/>
    </font>
    <font>
      <b/>
      <sz val="12"/>
      <color indexed="8"/>
      <name val="Arial"/>
      <family val="2"/>
    </font>
    <font>
      <b/>
      <u val="single"/>
      <sz val="12"/>
      <color indexed="12"/>
      <name val="Arial"/>
      <family val="2"/>
    </font>
    <font>
      <sz val="10"/>
      <name val="Arial"/>
      <family val="2"/>
    </font>
    <font>
      <sz val="11"/>
      <name val="Arial"/>
      <family val="2"/>
    </font>
    <font>
      <b/>
      <sz val="12"/>
      <color indexed="21"/>
      <name val="Arial"/>
      <family val="2"/>
    </font>
    <font>
      <sz val="12"/>
      <color indexed="10"/>
      <name val="Arial"/>
      <family val="2"/>
    </font>
    <font>
      <sz val="14"/>
      <color indexed="10"/>
      <name val="Arial"/>
      <family val="2"/>
    </font>
    <font>
      <sz val="8"/>
      <name val="Arial"/>
      <family val="2"/>
    </font>
    <font>
      <sz val="12"/>
      <color indexed="8"/>
      <name val="Arial"/>
      <family val="2"/>
    </font>
    <font>
      <sz val="8"/>
      <name val="Tahoma"/>
      <family val="2"/>
    </font>
    <font>
      <sz val="9"/>
      <name val="Tahoma"/>
      <family val="2"/>
    </font>
    <font>
      <b/>
      <sz val="10"/>
      <color indexed="56"/>
      <name val="Arial"/>
      <family val="2"/>
    </font>
    <font>
      <b/>
      <sz val="10"/>
      <name val="Arial"/>
      <family val="2"/>
    </font>
    <font>
      <b/>
      <sz val="11"/>
      <name val="Arial"/>
      <family val="2"/>
    </font>
    <font>
      <sz val="22"/>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2"/>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2"/>
      <color indexed="9"/>
      <name val="Arial"/>
      <family val="2"/>
    </font>
    <font>
      <u val="single"/>
      <sz val="14"/>
      <color indexed="12"/>
      <name val="Arial"/>
      <family val="2"/>
    </font>
    <font>
      <b/>
      <u val="single"/>
      <sz val="11"/>
      <color indexed="12"/>
      <name val="Arial"/>
      <family val="2"/>
    </font>
    <font>
      <b/>
      <sz val="10"/>
      <color indexed="8"/>
      <name val="Arial"/>
      <family val="2"/>
    </font>
    <font>
      <b/>
      <sz val="11"/>
      <color indexed="8"/>
      <name val="Arial"/>
      <family val="2"/>
    </font>
    <font>
      <sz val="16"/>
      <color indexed="18"/>
      <name val="Arial"/>
      <family val="2"/>
    </font>
    <font>
      <sz val="18"/>
      <color indexed="18"/>
      <name val="Arial"/>
      <family val="2"/>
    </font>
    <font>
      <b/>
      <sz val="18"/>
      <color indexed="18"/>
      <name val="Arial"/>
      <family val="2"/>
    </font>
    <font>
      <b/>
      <sz val="14"/>
      <color indexed="9"/>
      <name val="Arial"/>
      <family val="2"/>
    </font>
    <font>
      <sz val="12"/>
      <color indexed="9"/>
      <name val="Arial"/>
      <family val="2"/>
    </font>
    <font>
      <i/>
      <u val="single"/>
      <sz val="14"/>
      <color indexed="12"/>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2"/>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Arial"/>
      <family val="2"/>
    </font>
    <font>
      <b/>
      <sz val="12"/>
      <color theme="0"/>
      <name val="Arial"/>
      <family val="2"/>
    </font>
    <font>
      <u val="single"/>
      <sz val="14"/>
      <color rgb="FF0000FF"/>
      <name val="Arial"/>
      <family val="2"/>
    </font>
    <font>
      <b/>
      <u val="single"/>
      <sz val="11"/>
      <color theme="10"/>
      <name val="Arial"/>
      <family val="2"/>
    </font>
    <font>
      <b/>
      <sz val="12"/>
      <color theme="1"/>
      <name val="Arial"/>
      <family val="2"/>
    </font>
    <font>
      <b/>
      <sz val="10"/>
      <color theme="1"/>
      <name val="Arial"/>
      <family val="2"/>
    </font>
    <font>
      <b/>
      <u val="single"/>
      <sz val="12"/>
      <color rgb="FF0000FF"/>
      <name val="Arial"/>
      <family val="2"/>
    </font>
    <font>
      <b/>
      <sz val="11"/>
      <color theme="1"/>
      <name val="Arial"/>
      <family val="2"/>
    </font>
    <font>
      <b/>
      <sz val="12"/>
      <color rgb="FF0000FF"/>
      <name val="Arial"/>
      <family val="2"/>
    </font>
    <font>
      <sz val="16"/>
      <color rgb="FF002060"/>
      <name val="Arial"/>
      <family val="2"/>
    </font>
    <font>
      <sz val="18"/>
      <color rgb="FF002060"/>
      <name val="Arial"/>
      <family val="2"/>
    </font>
    <font>
      <b/>
      <sz val="18"/>
      <color rgb="FF002060"/>
      <name val="Arial"/>
      <family val="2"/>
    </font>
    <font>
      <b/>
      <sz val="14"/>
      <color theme="0"/>
      <name val="Arial"/>
      <family val="2"/>
    </font>
    <font>
      <sz val="12"/>
      <color theme="0"/>
      <name val="Arial"/>
      <family val="2"/>
    </font>
    <font>
      <b/>
      <sz val="8"/>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thin"/>
    </border>
    <border>
      <left/>
      <right/>
      <top style="thin"/>
      <bottom style="thin"/>
    </border>
    <border>
      <left/>
      <right/>
      <top/>
      <bottom style="double"/>
    </border>
    <border>
      <left/>
      <right/>
      <top style="thin"/>
      <bottom/>
    </border>
  </borders>
  <cellStyleXfs count="68">
    <xf numFmtId="0" fontId="0" fillId="0" borderId="0">
      <alignment vertical="top"/>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26" borderId="0" applyNumberFormat="0" applyBorder="0" applyAlignment="0" applyProtection="0"/>
    <xf numFmtId="0" fontId="58" fillId="27" borderId="1" applyNumberFormat="0" applyAlignment="0" applyProtection="0"/>
    <xf numFmtId="0" fontId="5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84" fontId="0" fillId="0" borderId="0">
      <alignment/>
      <protection/>
    </xf>
    <xf numFmtId="184" fontId="9" fillId="0" borderId="0">
      <alignment/>
      <protection locked="0"/>
    </xf>
    <xf numFmtId="38" fontId="0" fillId="0" borderId="0">
      <alignment/>
      <protection/>
    </xf>
    <xf numFmtId="185" fontId="9" fillId="0" borderId="0">
      <alignment/>
      <protection locked="0"/>
    </xf>
    <xf numFmtId="44" fontId="0" fillId="0" borderId="0" applyFont="0" applyFill="0" applyBorder="0" applyAlignment="0" applyProtection="0"/>
    <xf numFmtId="42" fontId="0" fillId="0" borderId="0" applyFon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30" borderId="1" applyNumberFormat="0" applyAlignment="0" applyProtection="0"/>
    <xf numFmtId="0" fontId="67" fillId="0" borderId="6" applyNumberFormat="0" applyFill="0" applyAlignment="0" applyProtection="0"/>
    <xf numFmtId="0" fontId="68" fillId="31" borderId="0" applyNumberFormat="0" applyBorder="0" applyAlignment="0" applyProtection="0"/>
    <xf numFmtId="0" fontId="0" fillId="0" borderId="0">
      <alignment vertical="top"/>
      <protection/>
    </xf>
    <xf numFmtId="170" fontId="0" fillId="0" borderId="0">
      <alignment vertical="top"/>
      <protection/>
    </xf>
    <xf numFmtId="0" fontId="0" fillId="32" borderId="7" applyNumberFormat="0" applyFont="0" applyAlignment="0" applyProtection="0"/>
    <xf numFmtId="0" fontId="69" fillId="27" borderId="8" applyNumberFormat="0" applyAlignment="0" applyProtection="0"/>
    <xf numFmtId="9" fontId="0" fillId="0" borderId="0" applyFont="0" applyFill="0" applyBorder="0" applyAlignment="0" applyProtection="0"/>
    <xf numFmtId="0" fontId="70" fillId="0" borderId="0" applyNumberFormat="0" applyFill="0" applyBorder="0" applyAlignment="0" applyProtection="0"/>
    <xf numFmtId="0" fontId="71" fillId="0" borderId="9" applyNumberFormat="0" applyFill="0" applyAlignment="0" applyProtection="0"/>
    <xf numFmtId="0" fontId="72" fillId="0" borderId="0" applyNumberFormat="0" applyFill="0" applyBorder="0" applyAlignment="0" applyProtection="0"/>
  </cellStyleXfs>
  <cellXfs count="273">
    <xf numFmtId="1" fontId="0" fillId="0" borderId="0" xfId="0" applyNumberFormat="1" applyAlignment="1">
      <alignment/>
    </xf>
    <xf numFmtId="4" fontId="0" fillId="0" borderId="0" xfId="0" applyNumberFormat="1" applyAlignment="1">
      <alignment/>
    </xf>
    <xf numFmtId="7" fontId="0" fillId="0" borderId="0" xfId="0" applyNumberFormat="1" applyAlignment="1">
      <alignment/>
    </xf>
    <xf numFmtId="164" fontId="0" fillId="0" borderId="0" xfId="0" applyNumberFormat="1" applyAlignment="1">
      <alignment/>
    </xf>
    <xf numFmtId="3" fontId="0" fillId="0" borderId="0" xfId="0" applyNumberFormat="1" applyAlignment="1">
      <alignment/>
    </xf>
    <xf numFmtId="165" fontId="0" fillId="0" borderId="0" xfId="0" applyNumberFormat="1" applyAlignment="1">
      <alignment/>
    </xf>
    <xf numFmtId="5" fontId="0" fillId="0" borderId="0" xfId="0" applyNumberFormat="1" applyAlignment="1" applyProtection="1">
      <alignment/>
      <protection locked="0"/>
    </xf>
    <xf numFmtId="2" fontId="0" fillId="0" borderId="0" xfId="0" applyNumberFormat="1" applyAlignment="1">
      <alignment/>
    </xf>
    <xf numFmtId="5" fontId="0" fillId="0" borderId="0" xfId="0" applyNumberFormat="1" applyAlignment="1">
      <alignment/>
    </xf>
    <xf numFmtId="7" fontId="0" fillId="0" borderId="0" xfId="0" applyNumberFormat="1" applyAlignment="1" applyProtection="1">
      <alignment/>
      <protection locked="0"/>
    </xf>
    <xf numFmtId="0" fontId="0" fillId="0" borderId="0" xfId="0" applyAlignment="1">
      <alignment/>
    </xf>
    <xf numFmtId="9" fontId="0" fillId="0" borderId="0" xfId="0" applyNumberFormat="1" applyAlignment="1">
      <alignment/>
    </xf>
    <xf numFmtId="0" fontId="0" fillId="0" borderId="0" xfId="0" applyNumberFormat="1" applyAlignment="1">
      <alignment/>
    </xf>
    <xf numFmtId="167" fontId="0" fillId="0" borderId="0" xfId="0" applyNumberFormat="1" applyAlignment="1">
      <alignment/>
    </xf>
    <xf numFmtId="0" fontId="5" fillId="0" borderId="0" xfId="0" applyFont="1" applyAlignment="1">
      <alignment/>
    </xf>
    <xf numFmtId="0" fontId="4" fillId="0" borderId="0" xfId="0" applyFont="1" applyAlignment="1">
      <alignment/>
    </xf>
    <xf numFmtId="1" fontId="0" fillId="0" borderId="0" xfId="0" applyNumberFormat="1" applyAlignment="1">
      <alignment horizontal="right"/>
    </xf>
    <xf numFmtId="7" fontId="5" fillId="0" borderId="0" xfId="0" applyNumberFormat="1" applyFont="1" applyAlignment="1">
      <alignment/>
    </xf>
    <xf numFmtId="7" fontId="4" fillId="0" borderId="0" xfId="0" applyNumberFormat="1" applyFont="1" applyAlignment="1">
      <alignment/>
    </xf>
    <xf numFmtId="3" fontId="5" fillId="0" borderId="0" xfId="0" applyNumberFormat="1" applyFont="1" applyAlignment="1">
      <alignment/>
    </xf>
    <xf numFmtId="164" fontId="5" fillId="0" borderId="0" xfId="0" applyNumberFormat="1" applyFont="1" applyAlignment="1">
      <alignment/>
    </xf>
    <xf numFmtId="0" fontId="6" fillId="0" borderId="0" xfId="0" applyFont="1" applyAlignment="1">
      <alignment/>
    </xf>
    <xf numFmtId="0" fontId="7" fillId="0" borderId="0" xfId="0" applyFont="1" applyAlignment="1">
      <alignment/>
    </xf>
    <xf numFmtId="0" fontId="9" fillId="0" borderId="0" xfId="0" applyFont="1" applyAlignment="1">
      <alignment/>
    </xf>
    <xf numFmtId="0" fontId="0" fillId="0" borderId="0" xfId="0" applyFont="1" applyAlignment="1">
      <alignment/>
    </xf>
    <xf numFmtId="1" fontId="0" fillId="0" borderId="10" xfId="0" applyNumberFormat="1" applyBorder="1" applyAlignment="1">
      <alignment/>
    </xf>
    <xf numFmtId="1" fontId="0" fillId="0" borderId="0" xfId="0" applyNumberFormat="1" applyBorder="1" applyAlignment="1">
      <alignment/>
    </xf>
    <xf numFmtId="0" fontId="4" fillId="0" borderId="0" xfId="0" applyFont="1" applyAlignment="1">
      <alignment/>
    </xf>
    <xf numFmtId="1" fontId="0" fillId="0" borderId="0" xfId="0" applyNumberFormat="1" applyFont="1" applyAlignment="1">
      <alignment/>
    </xf>
    <xf numFmtId="7" fontId="4" fillId="0" borderId="0" xfId="0" applyNumberFormat="1" applyFont="1" applyAlignment="1">
      <alignment/>
    </xf>
    <xf numFmtId="4" fontId="2" fillId="0" borderId="0" xfId="0" applyNumberFormat="1" applyFont="1" applyAlignment="1">
      <alignment/>
    </xf>
    <xf numFmtId="1" fontId="2" fillId="0" borderId="0" xfId="0" applyNumberFormat="1" applyFont="1" applyBorder="1" applyAlignment="1">
      <alignment/>
    </xf>
    <xf numFmtId="1" fontId="2" fillId="0" borderId="0" xfId="0" applyNumberFormat="1" applyFont="1" applyAlignment="1">
      <alignment/>
    </xf>
    <xf numFmtId="1" fontId="4" fillId="0" borderId="0" xfId="0" applyNumberFormat="1" applyFont="1" applyAlignment="1">
      <alignment/>
    </xf>
    <xf numFmtId="1" fontId="0" fillId="0" borderId="0" xfId="0" applyNumberFormat="1" applyAlignment="1">
      <alignment horizontal="center"/>
    </xf>
    <xf numFmtId="0" fontId="5" fillId="0" borderId="0" xfId="0" applyFont="1" applyAlignment="1">
      <alignment horizontal="center"/>
    </xf>
    <xf numFmtId="0" fontId="4" fillId="0" borderId="0" xfId="0" applyFont="1" applyAlignment="1">
      <alignment horizontal="center"/>
    </xf>
    <xf numFmtId="1" fontId="4" fillId="0" borderId="0" xfId="0" applyNumberFormat="1" applyFont="1" applyAlignment="1">
      <alignment horizontal="center"/>
    </xf>
    <xf numFmtId="4" fontId="2" fillId="0" borderId="0" xfId="0" applyNumberFormat="1" applyFont="1" applyAlignment="1">
      <alignment horizontal="center"/>
    </xf>
    <xf numFmtId="7" fontId="9" fillId="0" borderId="0" xfId="0" applyNumberFormat="1" applyFont="1" applyAlignment="1" applyProtection="1">
      <alignment/>
      <protection locked="0"/>
    </xf>
    <xf numFmtId="3" fontId="9" fillId="0" borderId="0" xfId="0" applyNumberFormat="1" applyFont="1" applyAlignment="1" applyProtection="1">
      <alignment/>
      <protection locked="0"/>
    </xf>
    <xf numFmtId="4" fontId="9" fillId="0" borderId="0" xfId="0" applyNumberFormat="1" applyFont="1" applyAlignment="1" applyProtection="1">
      <alignment/>
      <protection locked="0"/>
    </xf>
    <xf numFmtId="5" fontId="4" fillId="0" borderId="0" xfId="0" applyNumberFormat="1" applyFont="1" applyAlignment="1">
      <alignment/>
    </xf>
    <xf numFmtId="1" fontId="5" fillId="0" borderId="0" xfId="0" applyNumberFormat="1" applyFont="1" applyAlignment="1">
      <alignment/>
    </xf>
    <xf numFmtId="1" fontId="0" fillId="0" borderId="11" xfId="0" applyNumberFormat="1" applyBorder="1" applyAlignment="1">
      <alignment/>
    </xf>
    <xf numFmtId="7" fontId="0" fillId="0" borderId="0" xfId="0" applyNumberFormat="1" applyAlignment="1">
      <alignment horizontal="center"/>
    </xf>
    <xf numFmtId="0" fontId="0" fillId="0" borderId="0" xfId="0" applyFont="1" applyAlignment="1">
      <alignment horizontal="center"/>
    </xf>
    <xf numFmtId="1" fontId="6" fillId="0" borderId="0" xfId="0" applyNumberFormat="1" applyFont="1" applyBorder="1" applyAlignment="1">
      <alignment horizontal="center"/>
    </xf>
    <xf numFmtId="170" fontId="0" fillId="0" borderId="0" xfId="0" applyNumberFormat="1" applyAlignment="1">
      <alignment/>
    </xf>
    <xf numFmtId="0" fontId="2" fillId="0" borderId="0" xfId="0" applyFont="1" applyAlignment="1">
      <alignment horizontal="center"/>
    </xf>
    <xf numFmtId="1" fontId="5" fillId="0" borderId="0" xfId="0" applyNumberFormat="1" applyFont="1" applyAlignment="1">
      <alignment/>
    </xf>
    <xf numFmtId="169" fontId="4" fillId="0" borderId="0" xfId="0" applyNumberFormat="1" applyFont="1" applyAlignment="1">
      <alignment/>
    </xf>
    <xf numFmtId="5" fontId="9" fillId="0" borderId="0" xfId="0" applyNumberFormat="1" applyFont="1" applyAlignment="1" applyProtection="1">
      <alignment/>
      <protection locked="0"/>
    </xf>
    <xf numFmtId="5" fontId="14" fillId="0" borderId="0" xfId="0" applyNumberFormat="1" applyFont="1" applyAlignment="1" applyProtection="1">
      <alignment/>
      <protection locked="0"/>
    </xf>
    <xf numFmtId="9" fontId="9" fillId="0" borderId="0" xfId="0" applyNumberFormat="1" applyFont="1" applyAlignment="1" applyProtection="1">
      <alignment horizontal="center"/>
      <protection locked="0"/>
    </xf>
    <xf numFmtId="1" fontId="9" fillId="0" borderId="0" xfId="0" applyNumberFormat="1" applyFont="1" applyAlignment="1" applyProtection="1">
      <alignment horizontal="center"/>
      <protection locked="0"/>
    </xf>
    <xf numFmtId="9" fontId="14" fillId="0" borderId="0" xfId="0" applyNumberFormat="1" applyFont="1" applyAlignment="1" applyProtection="1">
      <alignment horizontal="center"/>
      <protection locked="0"/>
    </xf>
    <xf numFmtId="1" fontId="14" fillId="0" borderId="0" xfId="0" applyNumberFormat="1" applyFont="1" applyAlignment="1" applyProtection="1">
      <alignment horizontal="center"/>
      <protection locked="0"/>
    </xf>
    <xf numFmtId="169" fontId="0" fillId="0" borderId="0" xfId="0" applyNumberFormat="1" applyAlignment="1">
      <alignment/>
    </xf>
    <xf numFmtId="168" fontId="0" fillId="0" borderId="0" xfId="0" applyNumberFormat="1" applyAlignment="1">
      <alignment/>
    </xf>
    <xf numFmtId="171" fontId="0" fillId="0" borderId="0" xfId="0" applyNumberFormat="1" applyAlignment="1">
      <alignment/>
    </xf>
    <xf numFmtId="7" fontId="5" fillId="0" borderId="0" xfId="0" applyNumberFormat="1" applyFont="1" applyAlignment="1">
      <alignment/>
    </xf>
    <xf numFmtId="1" fontId="0" fillId="0" borderId="0" xfId="0" applyNumberFormat="1" applyAlignment="1">
      <alignment vertical="top"/>
    </xf>
    <xf numFmtId="164" fontId="0" fillId="0" borderId="0" xfId="0" applyNumberFormat="1" applyAlignment="1" quotePrefix="1">
      <alignment/>
    </xf>
    <xf numFmtId="0" fontId="2" fillId="0" borderId="0" xfId="0" applyFont="1" applyAlignment="1">
      <alignment horizontal="right"/>
    </xf>
    <xf numFmtId="1" fontId="15" fillId="0" borderId="0" xfId="0" applyNumberFormat="1" applyFont="1" applyAlignment="1">
      <alignment vertical="top"/>
    </xf>
    <xf numFmtId="7" fontId="0" fillId="0" borderId="0" xfId="0" applyNumberFormat="1" applyFont="1" applyAlignment="1">
      <alignment/>
    </xf>
    <xf numFmtId="1" fontId="0" fillId="0" borderId="0" xfId="0" applyNumberFormat="1" applyAlignment="1">
      <alignment wrapText="1"/>
    </xf>
    <xf numFmtId="174" fontId="0" fillId="0" borderId="0" xfId="0" applyNumberFormat="1" applyAlignment="1" quotePrefix="1">
      <alignment/>
    </xf>
    <xf numFmtId="175" fontId="0" fillId="0" borderId="0" xfId="0" applyNumberFormat="1" applyAlignment="1">
      <alignment/>
    </xf>
    <xf numFmtId="173" fontId="0" fillId="0" borderId="0" xfId="0" applyNumberFormat="1" applyAlignment="1">
      <alignment/>
    </xf>
    <xf numFmtId="173" fontId="5" fillId="0" borderId="0" xfId="0" applyNumberFormat="1" applyFont="1" applyAlignment="1">
      <alignment/>
    </xf>
    <xf numFmtId="166" fontId="0" fillId="0" borderId="0" xfId="0" applyNumberFormat="1" applyAlignment="1">
      <alignment/>
    </xf>
    <xf numFmtId="0" fontId="5" fillId="0" borderId="0" xfId="0" applyFont="1" applyAlignment="1">
      <alignment horizontal="center"/>
    </xf>
    <xf numFmtId="0" fontId="5" fillId="0" borderId="0" xfId="0" applyFont="1" applyAlignment="1">
      <alignment/>
    </xf>
    <xf numFmtId="7" fontId="4" fillId="0" borderId="0" xfId="0" applyNumberFormat="1" applyFont="1" applyFill="1" applyAlignment="1">
      <alignment/>
    </xf>
    <xf numFmtId="1" fontId="11" fillId="0" borderId="0" xfId="0" applyNumberFormat="1" applyFont="1" applyAlignment="1">
      <alignment horizontal="center" wrapText="1"/>
    </xf>
    <xf numFmtId="1" fontId="12" fillId="0" borderId="0" xfId="0" applyNumberFormat="1" applyFont="1" applyAlignment="1">
      <alignment wrapText="1"/>
    </xf>
    <xf numFmtId="166" fontId="9" fillId="0" borderId="0" xfId="0" applyNumberFormat="1" applyFont="1" applyAlignment="1" applyProtection="1">
      <alignment/>
      <protection locked="0"/>
    </xf>
    <xf numFmtId="166" fontId="5" fillId="0" borderId="0" xfId="0" applyNumberFormat="1" applyFont="1" applyAlignment="1">
      <alignment/>
    </xf>
    <xf numFmtId="166" fontId="5" fillId="0" borderId="0" xfId="0" applyNumberFormat="1" applyFont="1" applyAlignment="1">
      <alignment/>
    </xf>
    <xf numFmtId="1" fontId="0" fillId="0" borderId="0" xfId="0" applyNumberFormat="1" applyAlignment="1">
      <alignment horizontal="right" vertical="top" wrapText="1"/>
    </xf>
    <xf numFmtId="1" fontId="4" fillId="0" borderId="0" xfId="0" applyNumberFormat="1" applyFont="1" applyAlignment="1">
      <alignment horizontal="right" vertical="top" wrapText="1"/>
    </xf>
    <xf numFmtId="1" fontId="9" fillId="0" borderId="0" xfId="0" applyNumberFormat="1" applyFont="1" applyAlignment="1" applyProtection="1">
      <alignment horizontal="right"/>
      <protection locked="0"/>
    </xf>
    <xf numFmtId="1" fontId="9" fillId="0" borderId="0" xfId="0" applyNumberFormat="1" applyFont="1" applyAlignment="1" applyProtection="1">
      <alignment/>
      <protection locked="0"/>
    </xf>
    <xf numFmtId="164" fontId="9" fillId="0" borderId="0" xfId="0" applyNumberFormat="1" applyFont="1" applyAlignment="1" applyProtection="1">
      <alignment/>
      <protection locked="0"/>
    </xf>
    <xf numFmtId="169" fontId="9" fillId="0" borderId="0" xfId="0" applyNumberFormat="1" applyFont="1" applyAlignment="1" applyProtection="1">
      <alignment/>
      <protection locked="0"/>
    </xf>
    <xf numFmtId="165" fontId="9" fillId="0" borderId="0" xfId="0" applyNumberFormat="1" applyFont="1" applyAlignment="1" applyProtection="1">
      <alignment/>
      <protection locked="0"/>
    </xf>
    <xf numFmtId="170" fontId="9" fillId="0" borderId="0" xfId="0" applyNumberFormat="1" applyFont="1" applyAlignment="1" applyProtection="1">
      <alignment/>
      <protection locked="0"/>
    </xf>
    <xf numFmtId="2" fontId="14" fillId="0" borderId="0" xfId="0" applyNumberFormat="1" applyFont="1" applyAlignment="1" applyProtection="1">
      <alignment/>
      <protection locked="0"/>
    </xf>
    <xf numFmtId="167" fontId="9" fillId="0" borderId="0" xfId="0" applyNumberFormat="1" applyFont="1" applyAlignment="1" applyProtection="1">
      <alignment/>
      <protection locked="0"/>
    </xf>
    <xf numFmtId="1" fontId="19" fillId="0" borderId="0" xfId="0" applyNumberFormat="1" applyFont="1" applyAlignment="1">
      <alignment wrapText="1"/>
    </xf>
    <xf numFmtId="1" fontId="4" fillId="0" borderId="0" xfId="0" applyNumberFormat="1" applyFont="1" applyAlignment="1" applyProtection="1">
      <alignment/>
      <protection/>
    </xf>
    <xf numFmtId="3" fontId="4" fillId="0" borderId="0" xfId="0" applyNumberFormat="1" applyFont="1" applyAlignment="1" applyProtection="1">
      <alignment/>
      <protection/>
    </xf>
    <xf numFmtId="1" fontId="0" fillId="0" borderId="0" xfId="0" applyNumberFormat="1" applyAlignment="1" applyProtection="1">
      <alignment/>
      <protection/>
    </xf>
    <xf numFmtId="0" fontId="4" fillId="0" borderId="0" xfId="0" applyFont="1" applyAlignment="1" applyProtection="1">
      <alignment/>
      <protection/>
    </xf>
    <xf numFmtId="1" fontId="8" fillId="0" borderId="0" xfId="0" applyNumberFormat="1" applyFont="1" applyAlignment="1" applyProtection="1">
      <alignment/>
      <protection/>
    </xf>
    <xf numFmtId="1" fontId="11" fillId="0" borderId="0" xfId="0" applyNumberFormat="1" applyFont="1" applyAlignment="1" applyProtection="1">
      <alignment horizontal="center" vertical="center" wrapText="1"/>
      <protection/>
    </xf>
    <xf numFmtId="1" fontId="12" fillId="0" borderId="0" xfId="0" applyNumberFormat="1" applyFont="1" applyAlignment="1" applyProtection="1">
      <alignment horizontal="center" vertical="center" wrapText="1"/>
      <protection/>
    </xf>
    <xf numFmtId="1" fontId="11" fillId="0" borderId="0" xfId="0" applyNumberFormat="1" applyFont="1" applyAlignment="1" applyProtection="1">
      <alignment horizontal="left" wrapText="1"/>
      <protection/>
    </xf>
    <xf numFmtId="1" fontId="9" fillId="0" borderId="0" xfId="0" applyNumberFormat="1" applyFont="1" applyAlignment="1" applyProtection="1">
      <alignment/>
      <protection/>
    </xf>
    <xf numFmtId="165" fontId="0" fillId="0" borderId="0" xfId="0" applyNumberFormat="1" applyAlignment="1" applyProtection="1">
      <alignment/>
      <protection/>
    </xf>
    <xf numFmtId="5" fontId="0" fillId="0" borderId="0" xfId="0" applyNumberFormat="1" applyAlignment="1" applyProtection="1">
      <alignment/>
      <protection/>
    </xf>
    <xf numFmtId="4" fontId="4" fillId="0" borderId="0" xfId="0" applyNumberFormat="1" applyFont="1" applyAlignment="1" applyProtection="1">
      <alignment/>
      <protection/>
    </xf>
    <xf numFmtId="4" fontId="9" fillId="0" borderId="0" xfId="0" applyNumberFormat="1" applyFont="1" applyAlignment="1" applyProtection="1">
      <alignment/>
      <protection/>
    </xf>
    <xf numFmtId="1" fontId="3" fillId="0" borderId="0" xfId="0" applyNumberFormat="1" applyFont="1" applyAlignment="1" applyProtection="1">
      <alignment horizontal="center" wrapText="1"/>
      <protection/>
    </xf>
    <xf numFmtId="1" fontId="10" fillId="0" borderId="0" xfId="0" applyNumberFormat="1" applyFont="1" applyAlignment="1" applyProtection="1">
      <alignment horizontal="center" wrapText="1"/>
      <protection/>
    </xf>
    <xf numFmtId="1" fontId="4" fillId="0" borderId="0" xfId="0" applyNumberFormat="1" applyFont="1" applyAlignment="1" applyProtection="1">
      <alignment vertical="top" wrapText="1"/>
      <protection/>
    </xf>
    <xf numFmtId="1" fontId="0" fillId="0" borderId="0" xfId="0" applyNumberFormat="1" applyAlignment="1" applyProtection="1">
      <alignment vertical="top" wrapText="1"/>
      <protection/>
    </xf>
    <xf numFmtId="2" fontId="0" fillId="0" borderId="0" xfId="0" applyNumberFormat="1" applyAlignment="1" applyProtection="1">
      <alignment/>
      <protection/>
    </xf>
    <xf numFmtId="170" fontId="0" fillId="0" borderId="0" xfId="0" applyNumberFormat="1" applyAlignment="1" applyProtection="1">
      <alignment/>
      <protection/>
    </xf>
    <xf numFmtId="1" fontId="0" fillId="0" borderId="0" xfId="0" applyNumberFormat="1" applyAlignment="1" applyProtection="1" quotePrefix="1">
      <alignment/>
      <protection/>
    </xf>
    <xf numFmtId="1" fontId="4" fillId="0" borderId="0" xfId="0" applyNumberFormat="1" applyFont="1" applyAlignment="1" applyProtection="1">
      <alignment wrapText="1"/>
      <protection/>
    </xf>
    <xf numFmtId="1" fontId="4" fillId="0" borderId="0" xfId="0" applyNumberFormat="1" applyFont="1" applyAlignment="1" applyProtection="1">
      <alignment horizontal="right"/>
      <protection/>
    </xf>
    <xf numFmtId="1" fontId="5" fillId="0" borderId="0" xfId="0" applyNumberFormat="1" applyFont="1" applyAlignment="1" applyProtection="1">
      <alignment/>
      <protection/>
    </xf>
    <xf numFmtId="1" fontId="2" fillId="0" borderId="0" xfId="0" applyNumberFormat="1" applyFont="1" applyAlignment="1" applyProtection="1">
      <alignment horizontal="right"/>
      <protection/>
    </xf>
    <xf numFmtId="165" fontId="9" fillId="0" borderId="0" xfId="0" applyNumberFormat="1" applyFont="1" applyAlignment="1" applyProtection="1">
      <alignment/>
      <protection/>
    </xf>
    <xf numFmtId="170" fontId="4" fillId="0" borderId="0" xfId="0" applyNumberFormat="1" applyFont="1" applyAlignment="1" applyProtection="1">
      <alignment/>
      <protection/>
    </xf>
    <xf numFmtId="165" fontId="4" fillId="0" borderId="0" xfId="0" applyNumberFormat="1" applyFont="1" applyAlignment="1" applyProtection="1">
      <alignment/>
      <protection/>
    </xf>
    <xf numFmtId="1" fontId="13" fillId="0" borderId="0" xfId="0" applyNumberFormat="1" applyFont="1" applyFill="1" applyAlignment="1" applyProtection="1">
      <alignment vertical="top"/>
      <protection/>
    </xf>
    <xf numFmtId="1" fontId="4" fillId="0" borderId="0" xfId="0" applyNumberFormat="1" applyFont="1" applyAlignment="1" applyProtection="1">
      <alignment horizontal="center"/>
      <protection/>
    </xf>
    <xf numFmtId="1" fontId="2" fillId="0" borderId="0" xfId="0" applyNumberFormat="1" applyFont="1" applyAlignment="1" applyProtection="1">
      <alignment horizontal="center"/>
      <protection/>
    </xf>
    <xf numFmtId="1" fontId="17" fillId="0" borderId="0" xfId="0" applyNumberFormat="1" applyFont="1" applyAlignment="1" applyProtection="1">
      <alignment wrapText="1"/>
      <protection/>
    </xf>
    <xf numFmtId="1" fontId="0" fillId="0" borderId="0" xfId="0" applyNumberFormat="1" applyFont="1" applyAlignment="1" applyProtection="1">
      <alignment wrapText="1"/>
      <protection/>
    </xf>
    <xf numFmtId="7" fontId="2" fillId="0" borderId="0" xfId="0" applyNumberFormat="1" applyFont="1" applyAlignment="1" applyProtection="1">
      <alignment horizontal="right"/>
      <protection/>
    </xf>
    <xf numFmtId="5" fontId="4" fillId="0" borderId="0" xfId="0" applyNumberFormat="1" applyFont="1" applyAlignment="1" applyProtection="1">
      <alignment/>
      <protection/>
    </xf>
    <xf numFmtId="166" fontId="4" fillId="0" borderId="0" xfId="0" applyNumberFormat="1" applyFont="1" applyAlignment="1" applyProtection="1">
      <alignment/>
      <protection/>
    </xf>
    <xf numFmtId="7" fontId="4" fillId="0" borderId="0" xfId="0" applyNumberFormat="1" applyFont="1" applyAlignment="1" applyProtection="1">
      <alignment/>
      <protection/>
    </xf>
    <xf numFmtId="7" fontId="9" fillId="0" borderId="0" xfId="0" applyNumberFormat="1" applyFont="1" applyAlignment="1" applyProtection="1">
      <alignment/>
      <protection/>
    </xf>
    <xf numFmtId="1" fontId="18" fillId="0" borderId="0" xfId="0" applyNumberFormat="1" applyFont="1" applyAlignment="1" applyProtection="1">
      <alignment/>
      <protection/>
    </xf>
    <xf numFmtId="1" fontId="10" fillId="0" borderId="0" xfId="0" applyNumberFormat="1" applyFont="1" applyAlignment="1" applyProtection="1">
      <alignment vertical="center" wrapText="1"/>
      <protection/>
    </xf>
    <xf numFmtId="1" fontId="0" fillId="0" borderId="0" xfId="0" applyNumberFormat="1" applyFont="1" applyAlignment="1" applyProtection="1">
      <alignment/>
      <protection/>
    </xf>
    <xf numFmtId="1" fontId="4" fillId="0" borderId="0" xfId="0" applyNumberFormat="1" applyFont="1" applyAlignment="1" applyProtection="1">
      <alignment/>
      <protection/>
    </xf>
    <xf numFmtId="7" fontId="0" fillId="0" borderId="0" xfId="0" applyNumberFormat="1" applyAlignment="1" applyProtection="1">
      <alignment/>
      <protection/>
    </xf>
    <xf numFmtId="169" fontId="4" fillId="0" borderId="0" xfId="0" applyNumberFormat="1" applyFont="1" applyAlignment="1" applyProtection="1">
      <alignment/>
      <protection/>
    </xf>
    <xf numFmtId="1" fontId="3" fillId="0" borderId="0" xfId="0" applyNumberFormat="1" applyFont="1" applyAlignment="1" applyProtection="1">
      <alignment/>
      <protection/>
    </xf>
    <xf numFmtId="1" fontId="2" fillId="0" borderId="0" xfId="0" applyNumberFormat="1" applyFont="1" applyAlignment="1" applyProtection="1">
      <alignment/>
      <protection/>
    </xf>
    <xf numFmtId="0" fontId="2" fillId="0" borderId="0" xfId="0" applyFont="1" applyAlignment="1" applyProtection="1">
      <alignment horizontal="center"/>
      <protection/>
    </xf>
    <xf numFmtId="9" fontId="0" fillId="0" borderId="0" xfId="0" applyNumberFormat="1" applyFont="1" applyAlignment="1" applyProtection="1">
      <alignment horizontal="center"/>
      <protection/>
    </xf>
    <xf numFmtId="1" fontId="0" fillId="0" borderId="0" xfId="0" applyNumberFormat="1" applyAlignment="1" applyProtection="1">
      <alignment horizontal="center"/>
      <protection/>
    </xf>
    <xf numFmtId="172" fontId="0" fillId="0" borderId="0" xfId="0" applyNumberFormat="1" applyAlignment="1" applyProtection="1">
      <alignment/>
      <protection/>
    </xf>
    <xf numFmtId="9" fontId="0" fillId="0" borderId="0" xfId="0" applyNumberFormat="1" applyAlignment="1" applyProtection="1">
      <alignment/>
      <protection/>
    </xf>
    <xf numFmtId="1" fontId="18" fillId="0" borderId="0" xfId="0" applyNumberFormat="1" applyFont="1" applyAlignment="1" applyProtection="1">
      <alignment/>
      <protection/>
    </xf>
    <xf numFmtId="1" fontId="4" fillId="0" borderId="0" xfId="0" applyNumberFormat="1" applyFont="1" applyAlignment="1">
      <alignment horizontal="right" vertical="top"/>
    </xf>
    <xf numFmtId="169" fontId="14" fillId="0" borderId="0" xfId="0" applyNumberFormat="1" applyFont="1" applyAlignment="1" applyProtection="1">
      <alignment/>
      <protection locked="0"/>
    </xf>
    <xf numFmtId="173" fontId="9" fillId="0" borderId="0" xfId="0" applyNumberFormat="1" applyFont="1" applyAlignment="1" applyProtection="1">
      <alignment/>
      <protection locked="0"/>
    </xf>
    <xf numFmtId="1" fontId="0" fillId="0" borderId="0" xfId="0" applyNumberFormat="1" applyAlignment="1">
      <alignment vertical="top" wrapText="1"/>
    </xf>
    <xf numFmtId="1" fontId="21" fillId="0" borderId="0" xfId="0" applyNumberFormat="1" applyFont="1" applyFill="1" applyAlignment="1" applyProtection="1">
      <alignment vertical="top"/>
      <protection/>
    </xf>
    <xf numFmtId="5" fontId="5" fillId="0" borderId="0" xfId="0" applyNumberFormat="1" applyFont="1" applyAlignment="1" applyProtection="1">
      <alignment/>
      <protection/>
    </xf>
    <xf numFmtId="169" fontId="0" fillId="0" borderId="0" xfId="0" applyNumberFormat="1" applyAlignment="1" applyProtection="1">
      <alignment/>
      <protection/>
    </xf>
    <xf numFmtId="1" fontId="0" fillId="0" borderId="0" xfId="0" applyNumberFormat="1" applyFont="1" applyAlignment="1">
      <alignment vertical="top"/>
    </xf>
    <xf numFmtId="0" fontId="9" fillId="0" borderId="0" xfId="0" applyNumberFormat="1" applyFont="1" applyAlignment="1" applyProtection="1">
      <alignment/>
      <protection/>
    </xf>
    <xf numFmtId="169" fontId="9" fillId="0" borderId="0" xfId="0" applyNumberFormat="1" applyFont="1" applyAlignment="1" applyProtection="1">
      <alignment/>
      <protection/>
    </xf>
    <xf numFmtId="0" fontId="4" fillId="0" borderId="0" xfId="0" applyFont="1" applyAlignment="1">
      <alignment horizontal="center"/>
    </xf>
    <xf numFmtId="170" fontId="4" fillId="0" borderId="0" xfId="0" applyNumberFormat="1" applyFont="1" applyAlignment="1">
      <alignment/>
    </xf>
    <xf numFmtId="170" fontId="73" fillId="0" borderId="0" xfId="0" applyNumberFormat="1" applyFont="1" applyAlignment="1" applyProtection="1">
      <alignment/>
      <protection/>
    </xf>
    <xf numFmtId="1" fontId="0" fillId="0" borderId="0" xfId="0" applyNumberFormat="1" applyFill="1" applyAlignment="1" applyProtection="1">
      <alignment/>
      <protection/>
    </xf>
    <xf numFmtId="7" fontId="9" fillId="0" borderId="0" xfId="0" applyNumberFormat="1" applyFont="1" applyFill="1" applyAlignment="1" applyProtection="1">
      <alignment/>
      <protection locked="0"/>
    </xf>
    <xf numFmtId="170" fontId="9" fillId="0" borderId="0" xfId="0" applyNumberFormat="1" applyFont="1" applyFill="1" applyAlignment="1" applyProtection="1">
      <alignment/>
      <protection locked="0"/>
    </xf>
    <xf numFmtId="1" fontId="9" fillId="0" borderId="0" xfId="0" applyNumberFormat="1" applyFont="1" applyFill="1" applyAlignment="1" applyProtection="1">
      <alignment/>
      <protection locked="0"/>
    </xf>
    <xf numFmtId="1" fontId="0" fillId="0" borderId="0" xfId="0" applyNumberFormat="1" applyFill="1" applyAlignment="1">
      <alignment/>
    </xf>
    <xf numFmtId="3" fontId="4" fillId="0" borderId="0" xfId="0" applyNumberFormat="1" applyFont="1" applyFill="1" applyAlignment="1" applyProtection="1">
      <alignment/>
      <protection/>
    </xf>
    <xf numFmtId="3" fontId="9" fillId="0" borderId="0" xfId="0" applyNumberFormat="1" applyFont="1" applyFill="1" applyAlignment="1" applyProtection="1">
      <alignment horizontal="right"/>
      <protection locked="0"/>
    </xf>
    <xf numFmtId="3" fontId="9" fillId="0" borderId="0" xfId="0" applyNumberFormat="1" applyFont="1" applyFill="1" applyAlignment="1" applyProtection="1">
      <alignment/>
      <protection locked="0"/>
    </xf>
    <xf numFmtId="3" fontId="10" fillId="0" borderId="0" xfId="0" applyNumberFormat="1" applyFont="1" applyAlignment="1">
      <alignment/>
    </xf>
    <xf numFmtId="3" fontId="10" fillId="0" borderId="0" xfId="0" applyNumberFormat="1" applyFont="1" applyAlignment="1" applyProtection="1">
      <alignment/>
      <protection/>
    </xf>
    <xf numFmtId="1" fontId="0" fillId="0" borderId="12" xfId="0" applyNumberFormat="1" applyBorder="1" applyAlignment="1">
      <alignment/>
    </xf>
    <xf numFmtId="1" fontId="0" fillId="0" borderId="12" xfId="0" applyNumberFormat="1" applyFont="1" applyBorder="1" applyAlignment="1">
      <alignment/>
    </xf>
    <xf numFmtId="49" fontId="65" fillId="0" borderId="0" xfId="56" applyNumberFormat="1" applyAlignment="1" applyProtection="1">
      <alignment horizontal="center" vertical="center" wrapText="1"/>
      <protection/>
    </xf>
    <xf numFmtId="173" fontId="9" fillId="0" borderId="0" xfId="0" applyNumberFormat="1" applyFont="1" applyFill="1" applyAlignment="1" applyProtection="1">
      <alignment/>
      <protection locked="0"/>
    </xf>
    <xf numFmtId="170" fontId="0" fillId="0" borderId="0" xfId="61">
      <alignment vertical="top"/>
      <protection/>
    </xf>
    <xf numFmtId="170" fontId="0" fillId="0" borderId="0" xfId="61" applyFont="1">
      <alignment vertical="top"/>
      <protection/>
    </xf>
    <xf numFmtId="3" fontId="10" fillId="0" borderId="0" xfId="0" applyNumberFormat="1" applyFont="1" applyAlignment="1">
      <alignment vertical="top"/>
    </xf>
    <xf numFmtId="170" fontId="0" fillId="0" borderId="0" xfId="61" applyBorder="1">
      <alignment vertical="top"/>
      <protection/>
    </xf>
    <xf numFmtId="170" fontId="27" fillId="0" borderId="0" xfId="61" applyFont="1" applyBorder="1" applyAlignment="1">
      <alignment vertical="center"/>
      <protection/>
    </xf>
    <xf numFmtId="170" fontId="0" fillId="0" borderId="0" xfId="61" applyBorder="1" applyAlignment="1">
      <alignment vertical="center"/>
      <protection/>
    </xf>
    <xf numFmtId="170" fontId="0" fillId="0" borderId="0" xfId="61" applyAlignment="1">
      <alignment vertical="center"/>
      <protection/>
    </xf>
    <xf numFmtId="1" fontId="74" fillId="0" borderId="0" xfId="0" applyNumberFormat="1" applyFont="1" applyFill="1" applyAlignment="1" applyProtection="1">
      <alignment horizontal="center" wrapText="1"/>
      <protection/>
    </xf>
    <xf numFmtId="176" fontId="0" fillId="0" borderId="0" xfId="0" applyNumberFormat="1" applyFont="1" applyAlignment="1" applyProtection="1">
      <alignment/>
      <protection/>
    </xf>
    <xf numFmtId="49" fontId="4" fillId="0" borderId="0" xfId="0" applyNumberFormat="1" applyFont="1" applyAlignment="1">
      <alignment horizontal="left" vertical="top"/>
    </xf>
    <xf numFmtId="169" fontId="9" fillId="0" borderId="0" xfId="0" applyNumberFormat="1" applyFont="1" applyFill="1" applyAlignment="1" applyProtection="1">
      <alignment/>
      <protection locked="0"/>
    </xf>
    <xf numFmtId="49" fontId="65" fillId="0" borderId="0" xfId="56" applyNumberFormat="1" applyAlignment="1" applyProtection="1">
      <alignment horizontal="left" vertical="center"/>
      <protection/>
    </xf>
    <xf numFmtId="10" fontId="9" fillId="0" borderId="0" xfId="0" applyNumberFormat="1" applyFont="1" applyAlignment="1" applyProtection="1">
      <alignment/>
      <protection locked="0"/>
    </xf>
    <xf numFmtId="1" fontId="75" fillId="0" borderId="0" xfId="0" applyNumberFormat="1" applyFont="1" applyAlignment="1">
      <alignment horizontal="left"/>
    </xf>
    <xf numFmtId="170" fontId="10" fillId="0" borderId="0" xfId="61" applyFont="1" applyAlignment="1">
      <alignment vertical="top"/>
      <protection/>
    </xf>
    <xf numFmtId="170" fontId="10" fillId="0" borderId="0" xfId="61" applyFont="1" applyAlignment="1">
      <alignment vertical="center"/>
      <protection/>
    </xf>
    <xf numFmtId="170" fontId="10" fillId="0" borderId="0" xfId="61" applyFont="1" applyAlignment="1">
      <alignment vertical="top" wrapText="1"/>
      <protection/>
    </xf>
    <xf numFmtId="3" fontId="10" fillId="0" borderId="0" xfId="60" applyNumberFormat="1" applyFont="1" applyAlignment="1">
      <alignment vertical="top"/>
      <protection/>
    </xf>
    <xf numFmtId="10" fontId="9" fillId="0" borderId="0" xfId="0" applyNumberFormat="1" applyFont="1" applyFill="1" applyAlignment="1" applyProtection="1">
      <alignment/>
      <protection locked="0"/>
    </xf>
    <xf numFmtId="165" fontId="0" fillId="0" borderId="0" xfId="60" applyNumberFormat="1" applyAlignment="1">
      <alignment/>
      <protection/>
    </xf>
    <xf numFmtId="0" fontId="0" fillId="0" borderId="0" xfId="60" applyAlignment="1">
      <alignment/>
      <protection/>
    </xf>
    <xf numFmtId="170" fontId="0" fillId="0" borderId="0" xfId="60" applyNumberFormat="1" applyAlignment="1">
      <alignment/>
      <protection/>
    </xf>
    <xf numFmtId="0" fontId="16" fillId="0" borderId="0" xfId="60" applyFont="1" applyAlignment="1">
      <alignment/>
      <protection/>
    </xf>
    <xf numFmtId="3" fontId="76" fillId="0" borderId="0" xfId="56" applyNumberFormat="1" applyFont="1" applyAlignment="1" applyProtection="1">
      <alignment/>
      <protection/>
    </xf>
    <xf numFmtId="0" fontId="26" fillId="0" borderId="0" xfId="60" applyFont="1" applyAlignment="1">
      <alignment/>
      <protection/>
    </xf>
    <xf numFmtId="170" fontId="76" fillId="0" borderId="0" xfId="56" applyNumberFormat="1" applyFont="1" applyAlignment="1" applyProtection="1">
      <alignment vertical="top"/>
      <protection/>
    </xf>
    <xf numFmtId="170" fontId="16" fillId="0" borderId="0" xfId="61" applyFont="1" applyBorder="1">
      <alignment vertical="top"/>
      <protection/>
    </xf>
    <xf numFmtId="170" fontId="16" fillId="0" borderId="0" xfId="61" applyFont="1">
      <alignment vertical="top"/>
      <protection/>
    </xf>
    <xf numFmtId="170" fontId="26" fillId="0" borderId="0" xfId="61" applyFont="1">
      <alignment vertical="top"/>
      <protection/>
    </xf>
    <xf numFmtId="0" fontId="76" fillId="0" borderId="0" xfId="56" applyFont="1" applyAlignment="1" applyProtection="1">
      <alignment vertical="top"/>
      <protection/>
    </xf>
    <xf numFmtId="1" fontId="16" fillId="0" borderId="0" xfId="60" applyNumberFormat="1" applyFont="1" applyAlignment="1">
      <alignment/>
      <protection/>
    </xf>
    <xf numFmtId="0" fontId="65" fillId="0" borderId="0" xfId="56" applyAlignment="1" applyProtection="1">
      <alignment/>
      <protection/>
    </xf>
    <xf numFmtId="1" fontId="76" fillId="0" borderId="0" xfId="56" applyNumberFormat="1" applyFont="1" applyAlignment="1" applyProtection="1">
      <alignment/>
      <protection/>
    </xf>
    <xf numFmtId="0" fontId="77" fillId="0" borderId="0" xfId="60" applyFont="1" applyBorder="1" applyAlignment="1" applyProtection="1">
      <alignment/>
      <protection/>
    </xf>
    <xf numFmtId="0" fontId="78" fillId="0" borderId="0" xfId="60" applyFont="1" applyBorder="1" applyAlignment="1" applyProtection="1">
      <alignment horizontal="right"/>
      <protection/>
    </xf>
    <xf numFmtId="0" fontId="0" fillId="0" borderId="10" xfId="60" applyBorder="1" applyAlignment="1">
      <alignment/>
      <protection/>
    </xf>
    <xf numFmtId="0" fontId="77" fillId="0" borderId="13" xfId="60" applyFont="1" applyBorder="1" applyAlignment="1" applyProtection="1">
      <alignment horizontal="left" vertical="center"/>
      <protection/>
    </xf>
    <xf numFmtId="0" fontId="78" fillId="0" borderId="13" xfId="60" applyFont="1" applyBorder="1" applyAlignment="1" applyProtection="1">
      <alignment/>
      <protection/>
    </xf>
    <xf numFmtId="0" fontId="0" fillId="0" borderId="13" xfId="60" applyBorder="1" applyAlignment="1" applyProtection="1">
      <alignment/>
      <protection/>
    </xf>
    <xf numFmtId="0" fontId="79" fillId="0" borderId="0" xfId="60" applyFont="1" applyBorder="1" applyAlignment="1">
      <alignment horizontal="left" vertical="top"/>
      <protection/>
    </xf>
    <xf numFmtId="49" fontId="80" fillId="0" borderId="10" xfId="60" applyNumberFormat="1" applyFont="1" applyFill="1" applyBorder="1" applyAlignment="1" applyProtection="1">
      <alignment horizontal="right"/>
      <protection/>
    </xf>
    <xf numFmtId="170" fontId="16" fillId="0" borderId="0" xfId="61" applyFont="1" applyFill="1">
      <alignment vertical="top"/>
      <protection/>
    </xf>
    <xf numFmtId="0" fontId="0" fillId="0" borderId="0" xfId="60" applyBorder="1" applyAlignment="1" applyProtection="1">
      <alignment horizontal="right"/>
      <protection/>
    </xf>
    <xf numFmtId="182" fontId="9" fillId="0" borderId="0" xfId="0" applyNumberFormat="1" applyFont="1" applyAlignment="1" applyProtection="1">
      <alignment/>
      <protection locked="0"/>
    </xf>
    <xf numFmtId="0" fontId="0" fillId="0" borderId="0" xfId="0" applyFont="1" applyFill="1" applyAlignment="1">
      <alignment/>
    </xf>
    <xf numFmtId="0" fontId="81" fillId="0" borderId="0" xfId="0" applyFont="1" applyFill="1" applyAlignment="1" applyProtection="1">
      <alignment/>
      <protection locked="0"/>
    </xf>
    <xf numFmtId="183" fontId="81" fillId="0" borderId="0" xfId="0" applyNumberFormat="1" applyFont="1" applyFill="1" applyAlignment="1" applyProtection="1">
      <alignment/>
      <protection locked="0"/>
    </xf>
    <xf numFmtId="3" fontId="81" fillId="0" borderId="0" xfId="0" applyNumberFormat="1" applyFont="1" applyFill="1" applyAlignment="1" applyProtection="1">
      <alignment/>
      <protection locked="0"/>
    </xf>
    <xf numFmtId="0" fontId="4" fillId="0" borderId="0" xfId="0" applyFont="1" applyFill="1" applyAlignment="1">
      <alignment/>
    </xf>
    <xf numFmtId="170" fontId="9" fillId="0" borderId="0" xfId="45" applyNumberFormat="1" applyFill="1">
      <alignment/>
      <protection locked="0"/>
    </xf>
    <xf numFmtId="3" fontId="0" fillId="0" borderId="0" xfId="0" applyNumberFormat="1" applyFont="1" applyFill="1" applyAlignment="1">
      <alignment/>
    </xf>
    <xf numFmtId="0" fontId="0" fillId="0" borderId="0" xfId="0" applyFont="1" applyFill="1" applyAlignment="1">
      <alignment horizontal="center"/>
    </xf>
    <xf numFmtId="0" fontId="0" fillId="0" borderId="0" xfId="0" applyFont="1" applyFill="1" applyAlignment="1" applyProtection="1">
      <alignment/>
      <protection locked="0"/>
    </xf>
    <xf numFmtId="3" fontId="0" fillId="0" borderId="0" xfId="0" applyNumberFormat="1" applyFont="1" applyFill="1" applyAlignment="1" applyProtection="1">
      <alignment/>
      <protection/>
    </xf>
    <xf numFmtId="3" fontId="0" fillId="0" borderId="0" xfId="0" applyNumberFormat="1" applyFill="1" applyAlignment="1" applyProtection="1">
      <alignment/>
      <protection/>
    </xf>
    <xf numFmtId="3" fontId="0" fillId="0" borderId="10" xfId="0" applyNumberFormat="1" applyFont="1" applyBorder="1" applyAlignment="1" applyProtection="1">
      <alignment/>
      <protection/>
    </xf>
    <xf numFmtId="0" fontId="0" fillId="0" borderId="0" xfId="0" applyFont="1" applyFill="1" applyBorder="1" applyAlignment="1" applyProtection="1">
      <alignment/>
      <protection/>
    </xf>
    <xf numFmtId="164" fontId="0" fillId="0" borderId="0" xfId="0" applyNumberFormat="1" applyFont="1" applyFill="1" applyAlignment="1" applyProtection="1">
      <alignment/>
      <protection/>
    </xf>
    <xf numFmtId="186" fontId="0" fillId="0" borderId="0" xfId="0" applyNumberFormat="1" applyFont="1" applyFill="1" applyAlignment="1" applyProtection="1">
      <alignment/>
      <protection/>
    </xf>
    <xf numFmtId="170" fontId="0" fillId="0" borderId="0" xfId="44" applyNumberFormat="1" applyFill="1">
      <alignment/>
      <protection/>
    </xf>
    <xf numFmtId="3" fontId="5" fillId="0" borderId="0" xfId="0" applyNumberFormat="1" applyFont="1" applyFill="1" applyAlignment="1" applyProtection="1">
      <alignment/>
      <protection/>
    </xf>
    <xf numFmtId="3" fontId="5" fillId="0" borderId="0" xfId="44" applyNumberFormat="1" applyFont="1" applyFill="1" applyAlignment="1">
      <alignment horizontal="right"/>
      <protection/>
    </xf>
    <xf numFmtId="4" fontId="0" fillId="0" borderId="0" xfId="0" applyNumberFormat="1" applyFont="1" applyFill="1" applyAlignment="1" applyProtection="1">
      <alignment/>
      <protection/>
    </xf>
    <xf numFmtId="187" fontId="9" fillId="0" borderId="0" xfId="47" applyNumberFormat="1" applyFill="1">
      <alignment/>
      <protection locked="0"/>
    </xf>
    <xf numFmtId="1" fontId="82" fillId="0" borderId="0" xfId="0" applyNumberFormat="1" applyFont="1" applyFill="1" applyAlignment="1">
      <alignment horizontal="center" vertical="center" wrapText="1"/>
    </xf>
    <xf numFmtId="1" fontId="83" fillId="0" borderId="0" xfId="0" applyNumberFormat="1" applyFont="1" applyFill="1" applyAlignment="1">
      <alignment horizontal="center" vertical="center" wrapText="1"/>
    </xf>
    <xf numFmtId="170" fontId="26" fillId="0" borderId="0" xfId="61" applyFont="1" applyAlignment="1">
      <alignment horizontal="left" vertical="top" wrapText="1"/>
      <protection/>
    </xf>
    <xf numFmtId="1" fontId="10" fillId="0" borderId="0" xfId="0" applyNumberFormat="1" applyFont="1" applyAlignment="1">
      <alignment horizontal="left" vertical="top" wrapText="1"/>
    </xf>
    <xf numFmtId="1" fontId="84" fillId="0" borderId="0" xfId="0" applyNumberFormat="1" applyFont="1" applyFill="1" applyAlignment="1">
      <alignment horizontal="center" vertical="center" wrapText="1"/>
    </xf>
    <xf numFmtId="1" fontId="85" fillId="33" borderId="0" xfId="0" applyNumberFormat="1" applyFont="1" applyFill="1" applyAlignment="1">
      <alignment horizontal="center" wrapText="1"/>
    </xf>
    <xf numFmtId="176" fontId="25" fillId="0" borderId="0" xfId="0" applyNumberFormat="1" applyFont="1" applyAlignment="1" applyProtection="1">
      <alignment horizontal="left" vertical="top" wrapText="1"/>
      <protection/>
    </xf>
    <xf numFmtId="1" fontId="74" fillId="33" borderId="0" xfId="0" applyNumberFormat="1" applyFont="1" applyFill="1" applyAlignment="1" applyProtection="1">
      <alignment horizontal="left" wrapText="1"/>
      <protection/>
    </xf>
    <xf numFmtId="1" fontId="86" fillId="33" borderId="0" xfId="0" applyNumberFormat="1" applyFont="1" applyFill="1" applyAlignment="1" applyProtection="1">
      <alignment horizontal="left" wrapText="1"/>
      <protection/>
    </xf>
    <xf numFmtId="1" fontId="4" fillId="0" borderId="0" xfId="0" applyNumberFormat="1" applyFont="1" applyFill="1" applyAlignment="1" applyProtection="1">
      <alignment vertical="top" wrapText="1"/>
      <protection/>
    </xf>
    <xf numFmtId="1" fontId="0" fillId="0" borderId="0" xfId="0" applyNumberFormat="1" applyFill="1" applyAlignment="1" applyProtection="1">
      <alignment wrapText="1"/>
      <protection/>
    </xf>
    <xf numFmtId="1" fontId="4" fillId="0" borderId="0" xfId="0" applyNumberFormat="1" applyFont="1" applyAlignment="1" applyProtection="1">
      <alignment vertical="top" wrapText="1"/>
      <protection/>
    </xf>
    <xf numFmtId="1" fontId="85" fillId="33" borderId="0" xfId="0" applyNumberFormat="1" applyFont="1" applyFill="1" applyAlignment="1" applyProtection="1">
      <alignment horizontal="center" vertical="center" wrapText="1"/>
      <protection/>
    </xf>
    <xf numFmtId="1" fontId="74" fillId="33" borderId="0" xfId="0" applyNumberFormat="1" applyFont="1" applyFill="1" applyAlignment="1" applyProtection="1">
      <alignment wrapText="1"/>
      <protection/>
    </xf>
    <xf numFmtId="1" fontId="86" fillId="33" borderId="0" xfId="0" applyNumberFormat="1" applyFont="1" applyFill="1" applyAlignment="1" applyProtection="1">
      <alignment wrapText="1"/>
      <protection/>
    </xf>
    <xf numFmtId="1" fontId="4" fillId="0" borderId="0" xfId="0" applyNumberFormat="1" applyFont="1" applyFill="1" applyAlignment="1" applyProtection="1">
      <alignment horizontal="left" wrapText="1"/>
      <protection/>
    </xf>
    <xf numFmtId="1" fontId="0" fillId="0" borderId="0" xfId="0" applyNumberFormat="1" applyAlignment="1" applyProtection="1">
      <alignment vertical="top" wrapText="1"/>
      <protection/>
    </xf>
    <xf numFmtId="1" fontId="0" fillId="0" borderId="0" xfId="0" applyNumberFormat="1" applyAlignment="1" applyProtection="1">
      <alignment wrapText="1"/>
      <protection/>
    </xf>
    <xf numFmtId="1" fontId="0" fillId="0" borderId="0" xfId="0" applyNumberFormat="1" applyFont="1" applyFill="1" applyAlignment="1" applyProtection="1">
      <alignment vertical="top" wrapText="1"/>
      <protection/>
    </xf>
    <xf numFmtId="1" fontId="0" fillId="0" borderId="0" xfId="0" applyNumberFormat="1" applyFill="1" applyAlignment="1">
      <alignment wrapText="1"/>
    </xf>
    <xf numFmtId="1" fontId="5" fillId="0" borderId="0" xfId="0" applyNumberFormat="1" applyFont="1" applyAlignment="1" applyProtection="1">
      <alignment horizontal="left" wrapText="1"/>
      <protection/>
    </xf>
    <xf numFmtId="1" fontId="0" fillId="0" borderId="0" xfId="0" applyNumberFormat="1" applyFont="1" applyAlignment="1" applyProtection="1">
      <alignment horizontal="left" wrapText="1"/>
      <protection/>
    </xf>
    <xf numFmtId="1" fontId="2" fillId="0" borderId="0" xfId="0" applyNumberFormat="1" applyFont="1" applyAlignment="1" applyProtection="1">
      <alignment horizontal="center" wrapText="1"/>
      <protection/>
    </xf>
    <xf numFmtId="1" fontId="0" fillId="0" borderId="0" xfId="0" applyNumberFormat="1" applyAlignment="1" applyProtection="1">
      <alignment horizontal="center" wrapText="1"/>
      <protection/>
    </xf>
    <xf numFmtId="1" fontId="85" fillId="33" borderId="0" xfId="0" applyNumberFormat="1" applyFont="1" applyFill="1" applyAlignment="1" applyProtection="1">
      <alignment horizontal="left" vertical="center" wrapText="1"/>
      <protection/>
    </xf>
    <xf numFmtId="1" fontId="4" fillId="0" borderId="0" xfId="0" applyNumberFormat="1" applyFont="1" applyAlignment="1" applyProtection="1">
      <alignment vertical="center" wrapText="1"/>
      <protection/>
    </xf>
    <xf numFmtId="1" fontId="0" fillId="0" borderId="0" xfId="0" applyNumberFormat="1" applyFont="1" applyAlignment="1" applyProtection="1">
      <alignment vertical="center" wrapText="1"/>
      <protection/>
    </xf>
    <xf numFmtId="49" fontId="65" fillId="0" borderId="0" xfId="56" applyNumberFormat="1" applyAlignment="1" applyProtection="1">
      <alignment horizontal="right" vertical="center" wrapText="1"/>
      <protection/>
    </xf>
    <xf numFmtId="1" fontId="85" fillId="33" borderId="0" xfId="0" applyNumberFormat="1" applyFont="1" applyFill="1" applyAlignment="1" applyProtection="1">
      <alignment horizontal="center" wrapText="1"/>
      <protection/>
    </xf>
    <xf numFmtId="1" fontId="74" fillId="33" borderId="0" xfId="0" applyNumberFormat="1" applyFont="1" applyFill="1" applyAlignment="1" applyProtection="1">
      <alignment horizontal="center" wrapText="1"/>
      <protection/>
    </xf>
    <xf numFmtId="1" fontId="4" fillId="0" borderId="0" xfId="0" applyNumberFormat="1" applyFont="1" applyAlignment="1">
      <alignment vertical="top" wrapText="1"/>
    </xf>
    <xf numFmtId="1" fontId="0" fillId="0" borderId="0" xfId="0" applyNumberFormat="1" applyAlignment="1">
      <alignment wrapText="1"/>
    </xf>
    <xf numFmtId="0" fontId="85" fillId="33" borderId="0" xfId="0" applyFont="1" applyFill="1" applyBorder="1" applyAlignment="1">
      <alignment horizontal="center" vertical="center" wrapText="1"/>
    </xf>
    <xf numFmtId="1" fontId="86" fillId="33" borderId="0" xfId="0" applyNumberFormat="1" applyFont="1" applyFill="1" applyBorder="1" applyAlignment="1">
      <alignment horizontal="center" vertical="center" wrapText="1"/>
    </xf>
    <xf numFmtId="1" fontId="3" fillId="0" borderId="0" xfId="0" applyNumberFormat="1" applyFont="1" applyAlignment="1">
      <alignment horizontal="center" wrapText="1"/>
    </xf>
    <xf numFmtId="1" fontId="10" fillId="0" borderId="0" xfId="0" applyNumberFormat="1" applyFont="1" applyAlignment="1">
      <alignment wrapText="1"/>
    </xf>
    <xf numFmtId="0" fontId="16" fillId="0" borderId="0" xfId="0" applyFont="1" applyAlignment="1">
      <alignment vertical="top" wrapText="1"/>
    </xf>
    <xf numFmtId="1" fontId="16" fillId="0" borderId="0" xfId="0" applyNumberFormat="1" applyFont="1" applyAlignment="1">
      <alignment vertical="top" wrapText="1"/>
    </xf>
    <xf numFmtId="1" fontId="0" fillId="0" borderId="0" xfId="0" applyNumberFormat="1" applyAlignment="1">
      <alignment/>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 ($1,234.00) L Black" xfId="44"/>
    <cellStyle name="Curr ($1,234.00) U Blue" xfId="45"/>
    <cellStyle name="Curr (1,234) L Black" xfId="46"/>
    <cellStyle name="Curr (1,234.0) U Blue" xfId="47"/>
    <cellStyle name="Currency" xfId="48"/>
    <cellStyle name="Currency [0]" xfId="49"/>
    <cellStyle name="Explanatory Text" xfId="50"/>
    <cellStyle name="Good" xfId="51"/>
    <cellStyle name="Heading 1" xfId="52"/>
    <cellStyle name="Heading 2" xfId="53"/>
    <cellStyle name="Heading 3" xfId="54"/>
    <cellStyle name="Heading 4" xfId="55"/>
    <cellStyle name="Hyperlink" xfId="56"/>
    <cellStyle name="Input" xfId="57"/>
    <cellStyle name="Linked Cell" xfId="58"/>
    <cellStyle name="Neutral" xfId="59"/>
    <cellStyle name="Normal 2" xfId="60"/>
    <cellStyle name="Normal_Farrow-Wean 500" xfId="61"/>
    <cellStyle name="Note" xfId="62"/>
    <cellStyle name="Output" xfId="63"/>
    <cellStyle name="Percent"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gov.mb.ca/agriculture/business-and-economics/financial-management/cost-of-production.html" TargetMode="External" /><Relationship Id="rId3" Type="http://schemas.openxmlformats.org/officeDocument/2006/relationships/hyperlink" Target="http://www.gov.mb.ca/agriculture/contact/index.html" TargetMode="External" /><Relationship Id="rId4" Type="http://schemas.openxmlformats.org/officeDocument/2006/relationships/hyperlink" Target="http://www.gov.mb.ca/agriculture/business-and-economics/financial-management/machinery-costs.html"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gov.mb.ca/agriculture/business-and-economics/farm-business-management-contacts.html" TargetMode="External" /><Relationship Id="rId2" Type="http://schemas.openxmlformats.org/officeDocument/2006/relationships/hyperlink" Target="http://www.gov.mb.ca/agriculture/contact/index.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390525</xdr:colOff>
      <xdr:row>0</xdr:row>
      <xdr:rowOff>171450</xdr:rowOff>
    </xdr:from>
    <xdr:to>
      <xdr:col>10</xdr:col>
      <xdr:colOff>266700</xdr:colOff>
      <xdr:row>2</xdr:row>
      <xdr:rowOff>114300</xdr:rowOff>
    </xdr:to>
    <xdr:pic>
      <xdr:nvPicPr>
        <xdr:cNvPr id="1" name="Picture 2" descr="GovMB_Logo_blk10.jpg"/>
        <xdr:cNvPicPr preferRelativeResize="1">
          <a:picLocks noChangeAspect="1"/>
        </xdr:cNvPicPr>
      </xdr:nvPicPr>
      <xdr:blipFill>
        <a:blip r:embed="rId1"/>
        <a:stretch>
          <a:fillRect/>
        </a:stretch>
      </xdr:blipFill>
      <xdr:spPr>
        <a:xfrm>
          <a:off x="5829300" y="171450"/>
          <a:ext cx="1676400" cy="323850"/>
        </a:xfrm>
        <a:prstGeom prst="rect">
          <a:avLst/>
        </a:prstGeom>
        <a:noFill/>
        <a:ln w="9525" cmpd="sng">
          <a:noFill/>
        </a:ln>
      </xdr:spPr>
    </xdr:pic>
    <xdr:clientData/>
  </xdr:twoCellAnchor>
  <xdr:twoCellAnchor>
    <xdr:from>
      <xdr:col>6</xdr:col>
      <xdr:colOff>0</xdr:colOff>
      <xdr:row>29</xdr:row>
      <xdr:rowOff>142875</xdr:rowOff>
    </xdr:from>
    <xdr:to>
      <xdr:col>9</xdr:col>
      <xdr:colOff>495300</xdr:colOff>
      <xdr:row>31</xdr:row>
      <xdr:rowOff>28575</xdr:rowOff>
    </xdr:to>
    <xdr:sp>
      <xdr:nvSpPr>
        <xdr:cNvPr id="2" name="TextBox 5">
          <a:hlinkClick r:id="rId2"/>
        </xdr:cNvPr>
        <xdr:cNvSpPr txBox="1">
          <a:spLocks noChangeArrowheads="1"/>
        </xdr:cNvSpPr>
      </xdr:nvSpPr>
      <xdr:spPr>
        <a:xfrm>
          <a:off x="3914775" y="6162675"/>
          <a:ext cx="2781300" cy="304800"/>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www.manitoba.ca/agriculture</a:t>
          </a:r>
        </a:p>
      </xdr:txBody>
    </xdr:sp>
    <xdr:clientData/>
  </xdr:twoCellAnchor>
  <xdr:twoCellAnchor>
    <xdr:from>
      <xdr:col>2</xdr:col>
      <xdr:colOff>552450</xdr:colOff>
      <xdr:row>30</xdr:row>
      <xdr:rowOff>200025</xdr:rowOff>
    </xdr:from>
    <xdr:to>
      <xdr:col>6</xdr:col>
      <xdr:colOff>323850</xdr:colOff>
      <xdr:row>32</xdr:row>
      <xdr:rowOff>19050</xdr:rowOff>
    </xdr:to>
    <xdr:sp>
      <xdr:nvSpPr>
        <xdr:cNvPr id="3" name="TextBox 6">
          <a:hlinkClick r:id="rId3"/>
        </xdr:cNvPr>
        <xdr:cNvSpPr txBox="1">
          <a:spLocks noChangeArrowheads="1"/>
        </xdr:cNvSpPr>
      </xdr:nvSpPr>
      <xdr:spPr>
        <a:xfrm>
          <a:off x="1419225" y="6410325"/>
          <a:ext cx="2819400" cy="276225"/>
        </a:xfrm>
        <a:prstGeom prst="rect">
          <a:avLst/>
        </a:prstGeom>
        <a:noFill/>
        <a:ln w="9525" cmpd="sng">
          <a:noFill/>
        </a:ln>
      </xdr:spPr>
      <xdr:txBody>
        <a:bodyPr vertOverflow="clip" wrap="square"/>
        <a:p>
          <a:pPr algn="l">
            <a:defRPr/>
          </a:pPr>
          <a:r>
            <a:rPr lang="en-US" cap="none" sz="1400" b="0" i="0" u="sng" baseline="0">
              <a:solidFill>
                <a:srgbClr val="0000FF"/>
              </a:solidFill>
              <a:latin typeface="Arial"/>
              <a:ea typeface="Arial"/>
              <a:cs typeface="Arial"/>
            </a:rPr>
            <a:t>Manitoba Agriculture GO office.</a:t>
          </a:r>
        </a:p>
      </xdr:txBody>
    </xdr:sp>
    <xdr:clientData/>
  </xdr:twoCellAnchor>
  <xdr:twoCellAnchor>
    <xdr:from>
      <xdr:col>0</xdr:col>
      <xdr:colOff>66675</xdr:colOff>
      <xdr:row>31</xdr:row>
      <xdr:rowOff>190500</xdr:rowOff>
    </xdr:from>
    <xdr:to>
      <xdr:col>6</xdr:col>
      <xdr:colOff>504825</xdr:colOff>
      <xdr:row>32</xdr:row>
      <xdr:rowOff>228600</xdr:rowOff>
    </xdr:to>
    <xdr:sp>
      <xdr:nvSpPr>
        <xdr:cNvPr id="4" name="TextBox 7">
          <a:hlinkClick r:id="rId4"/>
        </xdr:cNvPr>
        <xdr:cNvSpPr txBox="1">
          <a:spLocks noChangeArrowheads="1"/>
        </xdr:cNvSpPr>
      </xdr:nvSpPr>
      <xdr:spPr>
        <a:xfrm>
          <a:off x="66675" y="6629400"/>
          <a:ext cx="4352925" cy="266700"/>
        </a:xfrm>
        <a:prstGeom prst="rect">
          <a:avLst/>
        </a:prstGeom>
        <a:noFill/>
        <a:ln w="9525" cmpd="sng">
          <a:noFill/>
        </a:ln>
      </xdr:spPr>
      <xdr:txBody>
        <a:bodyPr vertOverflow="clip" wrap="square"/>
        <a:p>
          <a:pPr algn="l">
            <a:defRPr/>
          </a:pPr>
          <a:r>
            <a:rPr lang="en-US" cap="none" sz="1400" b="0" i="1" u="sng" baseline="0">
              <a:solidFill>
                <a:srgbClr val="0000FF"/>
              </a:solidFill>
              <a:latin typeface="Arial"/>
              <a:ea typeface="Arial"/>
              <a:cs typeface="Arial"/>
            </a:rPr>
            <a:t>The Farm Machinery Custom and Rental Rate Guide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57150</xdr:colOff>
      <xdr:row>466</xdr:row>
      <xdr:rowOff>85725</xdr:rowOff>
    </xdr:from>
    <xdr:to>
      <xdr:col>9</xdr:col>
      <xdr:colOff>504825</xdr:colOff>
      <xdr:row>468</xdr:row>
      <xdr:rowOff>19050</xdr:rowOff>
    </xdr:to>
    <xdr:sp>
      <xdr:nvSpPr>
        <xdr:cNvPr id="1" name="TextBox 3">
          <a:hlinkClick r:id="rId1"/>
        </xdr:cNvPr>
        <xdr:cNvSpPr txBox="1">
          <a:spLocks noChangeArrowheads="1"/>
        </xdr:cNvSpPr>
      </xdr:nvSpPr>
      <xdr:spPr>
        <a:xfrm>
          <a:off x="1971675" y="89944575"/>
          <a:ext cx="4038600" cy="228600"/>
        </a:xfrm>
        <a:prstGeom prst="rect">
          <a:avLst/>
        </a:prstGeom>
        <a:noFill/>
        <a:ln w="9525" cmpd="sng">
          <a:noFill/>
        </a:ln>
      </xdr:spPr>
      <xdr:txBody>
        <a:bodyPr vertOverflow="clip" wrap="square" anchor="ctr"/>
        <a:p>
          <a:pPr algn="l">
            <a:defRPr/>
          </a:pPr>
          <a:r>
            <a:rPr lang="en-US" cap="none" sz="1200" b="1" i="0" u="sng" baseline="0">
              <a:solidFill>
                <a:srgbClr val="0000FF"/>
              </a:solidFill>
              <a:latin typeface="Arial"/>
              <a:ea typeface="Arial"/>
              <a:cs typeface="Arial"/>
            </a:rPr>
            <a:t>Manitoba Agriculture Farm Management</a:t>
          </a:r>
        </a:p>
      </xdr:txBody>
    </xdr:sp>
    <xdr:clientData/>
  </xdr:twoCellAnchor>
  <xdr:twoCellAnchor>
    <xdr:from>
      <xdr:col>4</xdr:col>
      <xdr:colOff>838200</xdr:colOff>
      <xdr:row>467</xdr:row>
      <xdr:rowOff>190500</xdr:rowOff>
    </xdr:from>
    <xdr:to>
      <xdr:col>9</xdr:col>
      <xdr:colOff>400050</xdr:colOff>
      <xdr:row>469</xdr:row>
      <xdr:rowOff>57150</xdr:rowOff>
    </xdr:to>
    <xdr:sp>
      <xdr:nvSpPr>
        <xdr:cNvPr id="2" name="TextBox 4">
          <a:hlinkClick r:id="rId2"/>
        </xdr:cNvPr>
        <xdr:cNvSpPr txBox="1">
          <a:spLocks noChangeArrowheads="1"/>
        </xdr:cNvSpPr>
      </xdr:nvSpPr>
      <xdr:spPr>
        <a:xfrm>
          <a:off x="2952750" y="90144600"/>
          <a:ext cx="2952750" cy="266700"/>
        </a:xfrm>
        <a:prstGeom prst="rect">
          <a:avLst/>
        </a:prstGeom>
        <a:noFill/>
        <a:ln w="9525" cmpd="sng">
          <a:noFill/>
        </a:ln>
      </xdr:spPr>
      <xdr:txBody>
        <a:bodyPr vertOverflow="clip" wrap="square"/>
        <a:p>
          <a:pPr algn="l">
            <a:defRPr/>
          </a:pPr>
          <a:r>
            <a:rPr lang="en-US" cap="none" sz="1200" b="1" i="0" u="sng" baseline="0">
              <a:solidFill>
                <a:srgbClr val="0000FF"/>
              </a:solidFill>
              <a:latin typeface="Arial"/>
              <a:ea typeface="Arial"/>
              <a:cs typeface="Arial"/>
            </a:rPr>
            <a:t>Manitoba Agriculture GO Office </a:t>
          </a:r>
          <a:r>
            <a:rPr lang="en-US" cap="none" sz="1200" b="1" i="0" u="none" baseline="0">
              <a:solidFill>
                <a:srgbClr val="000000"/>
              </a:solidFill>
              <a:latin typeface="Arial"/>
              <a:ea typeface="Arial"/>
              <a:cs typeface="Arial"/>
            </a:rPr>
            <a:t>or:</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Benjamin.Hamm@gov.mb.ca" TargetMode="External" /><Relationship Id="rId2" Type="http://schemas.openxmlformats.org/officeDocument/2006/relationships/hyperlink" Target="mailto:Robert.Berry@gov.mb.ca" TargetMode="External" /><Relationship Id="rId3" Type="http://schemas.openxmlformats.org/officeDocument/2006/relationships/hyperlink" Target="mailto:roy.arnott@gov.mb.ca" TargetMode="External" /><Relationship Id="rId4" Type="http://schemas.openxmlformats.org/officeDocument/2006/relationships/drawing" Target="../drawings/drawing2.xml" /><Relationship Id="rId5"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codeName="Sheet1"/>
  <dimension ref="A2:K40"/>
  <sheetViews>
    <sheetView tabSelected="1" zoomScalePageLayoutView="0" workbookViewId="0" topLeftCell="A1">
      <selection activeCell="A1" sqref="A1"/>
    </sheetView>
  </sheetViews>
  <sheetFormatPr defaultColWidth="8.88671875" defaultRowHeight="15"/>
  <cols>
    <col min="1" max="1" width="1.2265625" style="0" customWidth="1"/>
    <col min="10" max="10" width="12.10546875" style="0" customWidth="1"/>
  </cols>
  <sheetData>
    <row r="1" s="170" customFormat="1" ht="15"/>
    <row r="2" spans="1:10" s="170" customFormat="1" ht="15">
      <c r="A2" s="173"/>
      <c r="B2" s="173"/>
      <c r="C2" s="173"/>
      <c r="D2" s="173"/>
      <c r="E2" s="173"/>
      <c r="F2" s="173"/>
      <c r="G2" s="173"/>
      <c r="H2" s="173"/>
      <c r="I2" s="173"/>
      <c r="J2" s="173"/>
    </row>
    <row r="3" spans="1:10" s="176" customFormat="1" ht="27">
      <c r="A3" s="174" t="s">
        <v>445</v>
      </c>
      <c r="B3" s="175"/>
      <c r="C3" s="175"/>
      <c r="D3" s="175"/>
      <c r="E3" s="175"/>
      <c r="F3" s="175"/>
      <c r="G3" s="175"/>
      <c r="H3" s="175"/>
      <c r="I3" s="175"/>
      <c r="J3" s="175"/>
    </row>
    <row r="4" spans="1:10" s="176" customFormat="1" ht="15" customHeight="1">
      <c r="A4" s="174"/>
      <c r="B4" s="175"/>
      <c r="C4" s="175"/>
      <c r="D4" s="175"/>
      <c r="E4" s="175"/>
      <c r="F4" s="175"/>
      <c r="G4" s="175"/>
      <c r="H4" s="175"/>
      <c r="I4" s="175"/>
      <c r="J4" s="175"/>
    </row>
    <row r="5" spans="1:11" ht="20.25" customHeight="1">
      <c r="A5" s="234" t="s">
        <v>190</v>
      </c>
      <c r="B5" s="234"/>
      <c r="C5" s="234"/>
      <c r="D5" s="234"/>
      <c r="E5" s="234"/>
      <c r="F5" s="234"/>
      <c r="G5" s="234"/>
      <c r="H5" s="234"/>
      <c r="I5" s="234"/>
      <c r="J5" s="234"/>
      <c r="K5" s="234"/>
    </row>
    <row r="6" spans="1:11" ht="23.25" customHeight="1">
      <c r="A6" s="238" t="str">
        <f>"Based on "&amp;Input!G9&amp;" Kgs Daily Butterfat (BF) Quota"</f>
        <v>Based on 100 Kgs Daily Butterfat (BF) Quota</v>
      </c>
      <c r="B6" s="238"/>
      <c r="C6" s="238"/>
      <c r="D6" s="238"/>
      <c r="E6" s="238"/>
      <c r="F6" s="238"/>
      <c r="G6" s="238"/>
      <c r="H6" s="238"/>
      <c r="I6" s="238"/>
      <c r="J6" s="238"/>
      <c r="K6" s="238"/>
    </row>
    <row r="7" spans="1:11" ht="23.25" customHeight="1">
      <c r="A7" s="235" t="str">
        <f>Input!G14&amp;" Cow Dairy Enterprise"</f>
        <v>99 Cow Dairy Enterprise</v>
      </c>
      <c r="B7" s="235"/>
      <c r="C7" s="235"/>
      <c r="D7" s="235"/>
      <c r="E7" s="235"/>
      <c r="F7" s="235"/>
      <c r="G7" s="235"/>
      <c r="H7" s="235"/>
      <c r="I7" s="235"/>
      <c r="J7" s="235"/>
      <c r="K7" s="235"/>
    </row>
    <row r="10" spans="2:4" ht="15">
      <c r="B10" s="160"/>
      <c r="C10" s="160"/>
      <c r="D10" s="160"/>
    </row>
    <row r="11" spans="2:10" ht="15.75">
      <c r="B11" s="160"/>
      <c r="C11" s="160"/>
      <c r="D11" s="160"/>
      <c r="I11" s="143" t="s">
        <v>409</v>
      </c>
      <c r="J11" s="179" t="s">
        <v>452</v>
      </c>
    </row>
    <row r="12" spans="2:4" ht="15">
      <c r="B12" s="160"/>
      <c r="C12" s="160"/>
      <c r="D12" s="160"/>
    </row>
    <row r="13" spans="2:4" ht="15">
      <c r="B13" s="160"/>
      <c r="C13" s="160"/>
      <c r="D13" s="160"/>
    </row>
    <row r="14" spans="2:10" ht="15.75">
      <c r="B14" s="160"/>
      <c r="C14" s="160"/>
      <c r="D14" s="160"/>
      <c r="F14" s="82"/>
      <c r="G14" s="82"/>
      <c r="H14" s="82"/>
      <c r="I14" s="81"/>
      <c r="J14" s="81"/>
    </row>
    <row r="15" spans="6:10" ht="15.75">
      <c r="F15" s="82"/>
      <c r="G15" s="82"/>
      <c r="H15" s="82"/>
      <c r="I15" s="81"/>
      <c r="J15" s="81"/>
    </row>
    <row r="17" spans="2:11" ht="15" customHeight="1">
      <c r="B17" s="237" t="s">
        <v>426</v>
      </c>
      <c r="C17" s="237"/>
      <c r="D17" s="237"/>
      <c r="E17" s="237"/>
      <c r="F17" s="237"/>
      <c r="G17" s="237"/>
      <c r="H17" s="237"/>
      <c r="I17" s="237"/>
      <c r="J17" s="237"/>
      <c r="K17" s="237"/>
    </row>
    <row r="18" spans="2:11" ht="15">
      <c r="B18" s="237"/>
      <c r="C18" s="237"/>
      <c r="D18" s="237"/>
      <c r="E18" s="237"/>
      <c r="F18" s="237"/>
      <c r="G18" s="237"/>
      <c r="H18" s="237"/>
      <c r="I18" s="237"/>
      <c r="J18" s="237"/>
      <c r="K18" s="237"/>
    </row>
    <row r="19" spans="2:11" ht="15">
      <c r="B19" s="237"/>
      <c r="C19" s="237"/>
      <c r="D19" s="237"/>
      <c r="E19" s="237"/>
      <c r="F19" s="237"/>
      <c r="G19" s="237"/>
      <c r="H19" s="237"/>
      <c r="I19" s="237"/>
      <c r="J19" s="237"/>
      <c r="K19" s="237"/>
    </row>
    <row r="20" spans="2:11" ht="15">
      <c r="B20" s="237"/>
      <c r="C20" s="237"/>
      <c r="D20" s="237"/>
      <c r="E20" s="237"/>
      <c r="F20" s="237"/>
      <c r="G20" s="237"/>
      <c r="H20" s="237"/>
      <c r="I20" s="237"/>
      <c r="J20" s="237"/>
      <c r="K20" s="237"/>
    </row>
    <row r="21" spans="2:11" ht="15">
      <c r="B21" s="237"/>
      <c r="C21" s="237"/>
      <c r="D21" s="237"/>
      <c r="E21" s="237"/>
      <c r="F21" s="237"/>
      <c r="G21" s="237"/>
      <c r="H21" s="237"/>
      <c r="I21" s="237"/>
      <c r="J21" s="237"/>
      <c r="K21" s="237"/>
    </row>
    <row r="22" spans="2:11" ht="15">
      <c r="B22" s="237"/>
      <c r="C22" s="237"/>
      <c r="D22" s="237"/>
      <c r="E22" s="237"/>
      <c r="F22" s="237"/>
      <c r="G22" s="237"/>
      <c r="H22" s="237"/>
      <c r="I22" s="237"/>
      <c r="J22" s="237"/>
      <c r="K22" s="237"/>
    </row>
    <row r="23" spans="2:11" ht="18" customHeight="1">
      <c r="B23" s="237"/>
      <c r="C23" s="237"/>
      <c r="D23" s="237"/>
      <c r="E23" s="237"/>
      <c r="F23" s="237"/>
      <c r="G23" s="237"/>
      <c r="H23" s="237"/>
      <c r="I23" s="237"/>
      <c r="J23" s="237"/>
      <c r="K23" s="237"/>
    </row>
    <row r="24" spans="2:11" ht="15">
      <c r="B24" s="237"/>
      <c r="C24" s="237"/>
      <c r="D24" s="237"/>
      <c r="E24" s="237"/>
      <c r="F24" s="237"/>
      <c r="G24" s="237"/>
      <c r="H24" s="237"/>
      <c r="I24" s="237"/>
      <c r="J24" s="237"/>
      <c r="K24" s="237"/>
    </row>
    <row r="25" spans="2:11" ht="15" customHeight="1">
      <c r="B25" s="237" t="s">
        <v>366</v>
      </c>
      <c r="C25" s="237"/>
      <c r="D25" s="237"/>
      <c r="E25" s="237"/>
      <c r="F25" s="237"/>
      <c r="G25" s="237"/>
      <c r="H25" s="237"/>
      <c r="I25" s="237"/>
      <c r="J25" s="237"/>
      <c r="K25" s="237"/>
    </row>
    <row r="26" spans="2:11" ht="15">
      <c r="B26" s="237"/>
      <c r="C26" s="237"/>
      <c r="D26" s="237"/>
      <c r="E26" s="237"/>
      <c r="F26" s="237"/>
      <c r="G26" s="237"/>
      <c r="H26" s="237"/>
      <c r="I26" s="237"/>
      <c r="J26" s="237"/>
      <c r="K26" s="237"/>
    </row>
    <row r="27" spans="2:11" ht="15">
      <c r="B27" s="237"/>
      <c r="C27" s="237"/>
      <c r="D27" s="237"/>
      <c r="E27" s="237"/>
      <c r="F27" s="237"/>
      <c r="G27" s="237"/>
      <c r="H27" s="237"/>
      <c r="I27" s="237"/>
      <c r="J27" s="237"/>
      <c r="K27" s="237"/>
    </row>
    <row r="28" spans="2:11" ht="15">
      <c r="B28" s="237"/>
      <c r="C28" s="237"/>
      <c r="D28" s="237"/>
      <c r="E28" s="237"/>
      <c r="F28" s="237"/>
      <c r="G28" s="237"/>
      <c r="H28" s="237"/>
      <c r="I28" s="237"/>
      <c r="J28" s="237"/>
      <c r="K28" s="237"/>
    </row>
    <row r="29" spans="2:11" ht="15">
      <c r="B29" s="237"/>
      <c r="C29" s="237"/>
      <c r="D29" s="237"/>
      <c r="E29" s="237"/>
      <c r="F29" s="237"/>
      <c r="G29" s="237"/>
      <c r="H29" s="237"/>
      <c r="I29" s="237"/>
      <c r="J29" s="237"/>
      <c r="K29" s="237"/>
    </row>
    <row r="30" spans="2:10" ht="15">
      <c r="B30" s="146"/>
      <c r="C30" s="146"/>
      <c r="D30" s="146"/>
      <c r="E30" s="146"/>
      <c r="F30" s="146"/>
      <c r="G30" s="146"/>
      <c r="H30" s="146"/>
      <c r="I30" s="146"/>
      <c r="J30" s="62"/>
    </row>
    <row r="31" spans="2:11" ht="18">
      <c r="B31" s="184" t="s">
        <v>443</v>
      </c>
      <c r="C31" s="184"/>
      <c r="D31" s="184"/>
      <c r="E31" s="184"/>
      <c r="F31" s="184"/>
      <c r="G31" s="184"/>
      <c r="H31" s="184"/>
      <c r="I31" s="184"/>
      <c r="J31" s="184"/>
      <c r="K31" s="170"/>
    </row>
    <row r="32" spans="2:11" ht="18">
      <c r="B32" s="185" t="s">
        <v>444</v>
      </c>
      <c r="C32" s="184"/>
      <c r="D32" s="184"/>
      <c r="E32" s="183"/>
      <c r="F32" s="184"/>
      <c r="G32" s="184"/>
      <c r="H32" s="184"/>
      <c r="I32" s="184"/>
      <c r="J32" s="184"/>
      <c r="K32" s="170"/>
    </row>
    <row r="33" spans="2:11" ht="18">
      <c r="B33" s="184" t="s">
        <v>454</v>
      </c>
      <c r="C33" s="186"/>
      <c r="D33" s="186"/>
      <c r="E33" s="186"/>
      <c r="F33" s="186"/>
      <c r="G33" s="170"/>
      <c r="H33" s="170"/>
      <c r="I33" s="186"/>
      <c r="J33" s="186"/>
      <c r="K33" s="170"/>
    </row>
    <row r="34" spans="2:11" ht="18">
      <c r="B34" s="184" t="s">
        <v>455</v>
      </c>
      <c r="C34" s="187"/>
      <c r="D34" s="187"/>
      <c r="E34" s="187"/>
      <c r="F34" s="187"/>
      <c r="G34" s="187"/>
      <c r="H34" s="187"/>
      <c r="I34" s="187"/>
      <c r="J34" s="171"/>
      <c r="K34" s="171"/>
    </row>
    <row r="35" spans="2:9" s="171" customFormat="1" ht="15" customHeight="1">
      <c r="B35" s="172"/>
      <c r="C35" s="172"/>
      <c r="D35" s="172"/>
      <c r="E35" s="172"/>
      <c r="F35" s="172"/>
      <c r="G35" s="172"/>
      <c r="H35" s="172"/>
      <c r="I35" s="172"/>
    </row>
    <row r="36" spans="2:11" s="170" customFormat="1" ht="18" customHeight="1">
      <c r="B36" s="236" t="s">
        <v>453</v>
      </c>
      <c r="C36" s="236"/>
      <c r="D36" s="236"/>
      <c r="E36" s="236"/>
      <c r="F36" s="236"/>
      <c r="G36" s="236"/>
      <c r="H36" s="236"/>
      <c r="I36" s="236"/>
      <c r="J36" s="236"/>
      <c r="K36" s="236"/>
    </row>
    <row r="37" spans="2:11" s="170" customFormat="1" ht="18" customHeight="1">
      <c r="B37" s="236"/>
      <c r="C37" s="236"/>
      <c r="D37" s="236"/>
      <c r="E37" s="236"/>
      <c r="F37" s="236"/>
      <c r="G37" s="236"/>
      <c r="H37" s="236"/>
      <c r="I37" s="236"/>
      <c r="J37" s="236"/>
      <c r="K37" s="236"/>
    </row>
    <row r="38" spans="2:11" s="170" customFormat="1" ht="18" customHeight="1">
      <c r="B38" s="236"/>
      <c r="C38" s="236"/>
      <c r="D38" s="236"/>
      <c r="E38" s="236"/>
      <c r="F38" s="236"/>
      <c r="G38" s="236"/>
      <c r="H38" s="236"/>
      <c r="I38" s="236"/>
      <c r="J38" s="236"/>
      <c r="K38" s="236"/>
    </row>
    <row r="39" spans="2:10" ht="15">
      <c r="B39" t="s">
        <v>0</v>
      </c>
      <c r="J39" s="62"/>
    </row>
    <row r="40" ht="15">
      <c r="B40" t="s">
        <v>0</v>
      </c>
    </row>
  </sheetData>
  <sheetProtection password="C6A6" sheet="1"/>
  <mergeCells count="6">
    <mergeCell ref="A5:K5"/>
    <mergeCell ref="A7:K7"/>
    <mergeCell ref="B36:K38"/>
    <mergeCell ref="B25:K29"/>
    <mergeCell ref="B17:K24"/>
    <mergeCell ref="A6:K6"/>
  </mergeCells>
  <printOptions horizontalCentered="1"/>
  <pageMargins left="0.748031496062992" right="0.748031496062992" top="0.75" bottom="0.984251968503937" header="0.511811023622047" footer="0.511811023622047"/>
  <pageSetup horizontalDpi="600" verticalDpi="600" orientation="portrait" scale="80" r:id="rId3"/>
  <colBreaks count="1" manualBreakCount="1">
    <brk id="11" max="65535" man="1"/>
  </colBreaks>
  <drawing r:id="rId2"/>
  <legacyDrawing r:id="rId1"/>
</worksheet>
</file>

<file path=xl/worksheets/sheet2.xml><?xml version="1.0" encoding="utf-8"?>
<worksheet xmlns="http://schemas.openxmlformats.org/spreadsheetml/2006/main" xmlns:r="http://schemas.openxmlformats.org/officeDocument/2006/relationships">
  <sheetPr codeName="Sheet2">
    <pageSetUpPr fitToPage="1"/>
  </sheetPr>
  <dimension ref="A1:K96"/>
  <sheetViews>
    <sheetView workbookViewId="0" topLeftCell="A1">
      <selection activeCell="B1" sqref="B1:K1"/>
    </sheetView>
  </sheetViews>
  <sheetFormatPr defaultColWidth="8.88671875" defaultRowHeight="15"/>
  <cols>
    <col min="1" max="1" width="1.99609375" style="0" customWidth="1"/>
    <col min="4" max="4" width="5.4453125" style="0" customWidth="1"/>
    <col min="5" max="5" width="8.5546875" style="0" customWidth="1"/>
    <col min="6" max="6" width="2.77734375" style="0" customWidth="1"/>
    <col min="7" max="7" width="9.77734375" style="0" customWidth="1"/>
    <col min="8" max="8" width="2.6640625" style="0" customWidth="1"/>
    <col min="9" max="9" width="9.77734375" style="0" customWidth="1"/>
    <col min="10" max="10" width="2.4453125" style="0" customWidth="1"/>
    <col min="11" max="11" width="10.88671875" style="0" customWidth="1"/>
  </cols>
  <sheetData>
    <row r="1" spans="2:11" ht="18">
      <c r="B1" s="239" t="str">
        <f>"Summary of Dairy Production Costs   -   "&amp;Introduction!J11</f>
        <v>Summary of Dairy Production Costs   -   May, 2017</v>
      </c>
      <c r="C1" s="239"/>
      <c r="D1" s="239"/>
      <c r="E1" s="239"/>
      <c r="F1" s="239"/>
      <c r="G1" s="239"/>
      <c r="H1" s="239"/>
      <c r="I1" s="239"/>
      <c r="J1" s="239"/>
      <c r="K1" s="239"/>
    </row>
    <row r="2" spans="2:11" ht="18">
      <c r="B2" s="239" t="str">
        <f>"Based on  "&amp;Input!G9&amp;" kg BF Quota and "&amp;Input!G14&amp;" dairy cow herd"</f>
        <v>Based on  100 kg BF Quota and 99 dairy cow herd</v>
      </c>
      <c r="C2" s="239"/>
      <c r="D2" s="239"/>
      <c r="E2" s="239"/>
      <c r="F2" s="239"/>
      <c r="G2" s="239"/>
      <c r="H2" s="239"/>
      <c r="I2" s="239"/>
      <c r="J2" s="239"/>
      <c r="K2" s="239"/>
    </row>
    <row r="3" ht="15">
      <c r="J3" t="s">
        <v>0</v>
      </c>
    </row>
    <row r="4" spans="2:11" ht="15.75">
      <c r="B4" s="27" t="s">
        <v>80</v>
      </c>
      <c r="C4" s="15"/>
      <c r="D4" s="15"/>
      <c r="G4" s="38" t="s">
        <v>435</v>
      </c>
      <c r="H4" s="30"/>
      <c r="I4" s="38" t="s">
        <v>81</v>
      </c>
      <c r="J4" s="28" t="s">
        <v>0</v>
      </c>
      <c r="K4" s="31" t="s">
        <v>82</v>
      </c>
    </row>
    <row r="5" spans="2:10" ht="15">
      <c r="B5" t="s">
        <v>83</v>
      </c>
      <c r="G5" s="1" t="s">
        <v>0</v>
      </c>
      <c r="H5" s="1"/>
      <c r="J5" t="s">
        <v>0</v>
      </c>
    </row>
    <row r="6" spans="2:10" ht="15">
      <c r="B6" t="s">
        <v>84</v>
      </c>
      <c r="J6" t="s">
        <v>0</v>
      </c>
    </row>
    <row r="7" spans="2:11" ht="15">
      <c r="B7" t="s">
        <v>332</v>
      </c>
      <c r="G7" s="2">
        <f>Details!E14</f>
        <v>517.5</v>
      </c>
      <c r="H7" s="2"/>
      <c r="I7" s="2">
        <f>ROUND(G7/(Input!$G$19/100),2)</f>
        <v>5.28</v>
      </c>
      <c r="J7" t="s">
        <v>0</v>
      </c>
      <c r="K7" s="25"/>
    </row>
    <row r="8" spans="2:11" ht="15">
      <c r="B8" t="s">
        <v>333</v>
      </c>
      <c r="G8" s="2">
        <f>Details!E22</f>
        <v>1719.48</v>
      </c>
      <c r="H8" s="2"/>
      <c r="I8" s="2">
        <f>ROUND(G8/(Input!$G$19/100),2)</f>
        <v>17.55</v>
      </c>
      <c r="J8" t="s">
        <v>0</v>
      </c>
      <c r="K8" s="25"/>
    </row>
    <row r="9" spans="2:11" ht="15">
      <c r="B9" t="s">
        <v>334</v>
      </c>
      <c r="G9" s="2">
        <f>Details!E29</f>
        <v>38.01</v>
      </c>
      <c r="H9" s="2"/>
      <c r="I9" s="2">
        <f>ROUND(G9/(Input!$G$19/100),2)</f>
        <v>0.39</v>
      </c>
      <c r="J9" t="s">
        <v>0</v>
      </c>
      <c r="K9" s="25"/>
    </row>
    <row r="10" spans="2:10" ht="15">
      <c r="B10" t="s">
        <v>85</v>
      </c>
      <c r="I10" s="2"/>
      <c r="J10" t="s">
        <v>0</v>
      </c>
    </row>
    <row r="11" spans="2:11" ht="15">
      <c r="B11" t="s">
        <v>335</v>
      </c>
      <c r="G11" s="2">
        <f>Details!E47</f>
        <v>201.04</v>
      </c>
      <c r="H11" s="2"/>
      <c r="I11" s="2">
        <f>ROUND(G11/(Input!$G$19/100),2)</f>
        <v>2.05</v>
      </c>
      <c r="J11" t="s">
        <v>0</v>
      </c>
      <c r="K11" s="25"/>
    </row>
    <row r="12" spans="2:11" ht="15">
      <c r="B12" t="s">
        <v>336</v>
      </c>
      <c r="G12" s="17">
        <f>Details!E72</f>
        <v>60.1</v>
      </c>
      <c r="H12" s="17"/>
      <c r="I12" s="17">
        <f>ROUND(G12/(Input!$G$19/100),2)</f>
        <v>0.61</v>
      </c>
      <c r="J12" t="s">
        <v>0</v>
      </c>
      <c r="K12" s="25"/>
    </row>
    <row r="13" spans="2:11" ht="15.75">
      <c r="B13" s="27" t="s">
        <v>86</v>
      </c>
      <c r="C13" s="15"/>
      <c r="D13" s="15"/>
      <c r="E13" s="15"/>
      <c r="F13" s="15"/>
      <c r="G13" s="29">
        <f>SUM(G7:G12)</f>
        <v>2536.13</v>
      </c>
      <c r="H13" s="29"/>
      <c r="I13" s="29">
        <f>SUM(I7:I12)</f>
        <v>25.880000000000003</v>
      </c>
      <c r="J13" t="s">
        <v>0</v>
      </c>
      <c r="K13" s="25"/>
    </row>
    <row r="14" spans="2:11" ht="7.5" customHeight="1">
      <c r="B14" s="27"/>
      <c r="C14" s="15"/>
      <c r="D14" s="15"/>
      <c r="E14" s="15"/>
      <c r="F14" s="15"/>
      <c r="G14" s="29"/>
      <c r="H14" s="29"/>
      <c r="I14" s="29"/>
      <c r="K14" s="26"/>
    </row>
    <row r="15" spans="2:10" ht="15">
      <c r="B15" t="s">
        <v>87</v>
      </c>
      <c r="G15" s="6" t="s">
        <v>1</v>
      </c>
      <c r="H15" s="8"/>
      <c r="J15" t="s">
        <v>0</v>
      </c>
    </row>
    <row r="16" spans="2:11" ht="15">
      <c r="B16" t="s">
        <v>88</v>
      </c>
      <c r="G16" s="2">
        <f>Details!E86</f>
        <v>38.39</v>
      </c>
      <c r="H16" s="2"/>
      <c r="I16" s="2">
        <f>ROUND(G16/(Input!$G$19/100),2)</f>
        <v>0.39</v>
      </c>
      <c r="J16" t="s">
        <v>0</v>
      </c>
      <c r="K16" s="25"/>
    </row>
    <row r="17" spans="2:11" ht="15">
      <c r="B17" t="s">
        <v>89</v>
      </c>
      <c r="G17" s="2">
        <f>Details!E91</f>
        <v>90</v>
      </c>
      <c r="H17" s="2"/>
      <c r="I17" s="2">
        <f>ROUND(G17/(Input!$G$19/100),2)</f>
        <v>0.92</v>
      </c>
      <c r="J17" t="s">
        <v>0</v>
      </c>
      <c r="K17" s="25"/>
    </row>
    <row r="18" spans="2:11" ht="15">
      <c r="B18" t="s">
        <v>90</v>
      </c>
      <c r="G18" s="2">
        <f>Details!E115</f>
        <v>175.18</v>
      </c>
      <c r="H18" s="2"/>
      <c r="I18" s="2">
        <f>ROUND(G18/(Input!$G$19/100),2)</f>
        <v>1.79</v>
      </c>
      <c r="J18" t="s">
        <v>0</v>
      </c>
      <c r="K18" s="25"/>
    </row>
    <row r="19" spans="2:11" ht="15">
      <c r="B19" t="s">
        <v>91</v>
      </c>
      <c r="G19" s="2">
        <f>Details!E126</f>
        <v>90</v>
      </c>
      <c r="H19" s="2"/>
      <c r="I19" s="2">
        <f>ROUND(G19/(Input!$G$19/100),2)</f>
        <v>0.92</v>
      </c>
      <c r="J19" t="s">
        <v>0</v>
      </c>
      <c r="K19" s="25"/>
    </row>
    <row r="20" spans="2:11" ht="15">
      <c r="B20" t="s">
        <v>92</v>
      </c>
      <c r="G20" s="2">
        <f>Details!E131</f>
        <v>199.49</v>
      </c>
      <c r="H20" s="2"/>
      <c r="I20" s="2">
        <f>ROUND(G20/(Input!$G$19/100),2)</f>
        <v>2.04</v>
      </c>
      <c r="J20" t="s">
        <v>0</v>
      </c>
      <c r="K20" s="25"/>
    </row>
    <row r="21" spans="2:11" ht="15">
      <c r="B21" t="s">
        <v>93</v>
      </c>
      <c r="G21" s="2">
        <f>Details!E140</f>
        <v>551.74</v>
      </c>
      <c r="H21" s="2"/>
      <c r="I21" s="2">
        <f>ROUND(G21/(Input!$G$19/100),2)</f>
        <v>5.63</v>
      </c>
      <c r="J21" t="s">
        <v>0</v>
      </c>
      <c r="K21" s="25"/>
    </row>
    <row r="22" spans="2:11" ht="15">
      <c r="B22" t="s">
        <v>94</v>
      </c>
      <c r="G22" s="2">
        <f>Details!E154</f>
        <v>291.62</v>
      </c>
      <c r="H22" s="2"/>
      <c r="I22" s="2">
        <f>ROUND(G22/(Input!$G$19/100),2)</f>
        <v>2.98</v>
      </c>
      <c r="J22" t="s">
        <v>0</v>
      </c>
      <c r="K22" s="25"/>
    </row>
    <row r="23" spans="2:11" ht="15">
      <c r="B23" t="s">
        <v>95</v>
      </c>
      <c r="G23" s="2">
        <f>Details!E160</f>
        <v>173.1</v>
      </c>
      <c r="H23" s="2"/>
      <c r="I23" s="2">
        <f>ROUND(G23/(Input!$G$19/100),2)</f>
        <v>1.77</v>
      </c>
      <c r="J23" t="s">
        <v>0</v>
      </c>
      <c r="K23" s="25"/>
    </row>
    <row r="24" spans="2:11" ht="15">
      <c r="B24" t="s">
        <v>96</v>
      </c>
      <c r="G24" s="2">
        <f>Details!E185</f>
        <v>167.52999999999997</v>
      </c>
      <c r="H24" s="2"/>
      <c r="I24" s="2">
        <f>ROUND(G24/(Input!$G$19/100),2)</f>
        <v>1.71</v>
      </c>
      <c r="J24" t="s">
        <v>0</v>
      </c>
      <c r="K24" s="25"/>
    </row>
    <row r="25" spans="2:11" ht="15">
      <c r="B25" t="s">
        <v>97</v>
      </c>
      <c r="G25" s="2">
        <f>Details!E190</f>
        <v>160.6</v>
      </c>
      <c r="H25" s="2"/>
      <c r="I25" s="2">
        <f>ROUND(G25/(Input!$G$19/100),2)</f>
        <v>1.64</v>
      </c>
      <c r="J25" t="s">
        <v>0</v>
      </c>
      <c r="K25" s="25"/>
    </row>
    <row r="26" spans="2:11" ht="15">
      <c r="B26" t="s">
        <v>98</v>
      </c>
      <c r="G26" s="2">
        <f>Details!E214</f>
        <v>381.31</v>
      </c>
      <c r="H26" s="2"/>
      <c r="I26" s="2">
        <f>G26/(Input!$G$19/100)</f>
        <v>3.8909183673469387</v>
      </c>
      <c r="J26" t="s">
        <v>0</v>
      </c>
      <c r="K26" s="25"/>
    </row>
    <row r="27" spans="2:11" ht="15">
      <c r="B27" t="s">
        <v>99</v>
      </c>
      <c r="G27" s="2">
        <f>Details!E219</f>
        <v>50.51</v>
      </c>
      <c r="H27" s="2"/>
      <c r="I27" s="2">
        <f>G27/(Input!$G$19/100)</f>
        <v>0.5154081632653061</v>
      </c>
      <c r="J27" t="s">
        <v>0</v>
      </c>
      <c r="K27" s="25"/>
    </row>
    <row r="28" spans="2:11" ht="15">
      <c r="B28" t="s">
        <v>100</v>
      </c>
      <c r="G28" s="2">
        <f>Details!E234</f>
        <v>169.08</v>
      </c>
      <c r="H28" s="2"/>
      <c r="I28" s="2">
        <f>G28/(Input!$G$19/100)</f>
        <v>1.7253061224489796</v>
      </c>
      <c r="J28" t="s">
        <v>0</v>
      </c>
      <c r="K28" s="25"/>
    </row>
    <row r="29" spans="2:11" ht="15">
      <c r="B29" t="s">
        <v>101</v>
      </c>
      <c r="G29" s="17">
        <f>Details!E240</f>
        <v>26.26</v>
      </c>
      <c r="H29" s="17"/>
      <c r="I29" s="17">
        <f>G29/(Input!$G$19/100)</f>
        <v>0.2679591836734694</v>
      </c>
      <c r="J29" t="s">
        <v>0</v>
      </c>
      <c r="K29" s="25"/>
    </row>
    <row r="30" spans="2:11" ht="15">
      <c r="B30" t="s">
        <v>102</v>
      </c>
      <c r="G30" s="2">
        <f>SUM(G13:G29)</f>
        <v>5100.9400000000005</v>
      </c>
      <c r="H30" s="2"/>
      <c r="I30" s="2">
        <f>SUM(I13:I29)</f>
        <v>52.0695918367347</v>
      </c>
      <c r="J30" t="s">
        <v>0</v>
      </c>
      <c r="K30" s="44"/>
    </row>
    <row r="31" spans="7:11" ht="7.5" customHeight="1">
      <c r="G31" s="2"/>
      <c r="H31" s="2"/>
      <c r="I31" s="2"/>
      <c r="K31" s="26"/>
    </row>
    <row r="32" spans="2:11" ht="15">
      <c r="B32" t="s">
        <v>103</v>
      </c>
      <c r="G32" s="17">
        <f>Details!E249</f>
        <v>9.56</v>
      </c>
      <c r="H32" s="17"/>
      <c r="I32" s="17">
        <f>G32/(Input!$G$19/100)</f>
        <v>0.09755102040816327</v>
      </c>
      <c r="J32" t="s">
        <v>0</v>
      </c>
      <c r="K32" s="25"/>
    </row>
    <row r="33" spans="2:11" ht="15.75">
      <c r="B33" s="27" t="s">
        <v>104</v>
      </c>
      <c r="C33" s="23"/>
      <c r="D33" s="23"/>
      <c r="E33" s="23"/>
      <c r="F33" s="23"/>
      <c r="G33" s="29">
        <f>G30+G32</f>
        <v>5110.500000000001</v>
      </c>
      <c r="H33" s="29"/>
      <c r="I33" s="29">
        <f>I30+I32</f>
        <v>52.16714285714286</v>
      </c>
      <c r="J33" t="s">
        <v>0</v>
      </c>
      <c r="K33" s="25"/>
    </row>
    <row r="34" spans="2:11" ht="15.75">
      <c r="B34" s="27"/>
      <c r="C34" s="23"/>
      <c r="D34" s="23"/>
      <c r="E34" s="23"/>
      <c r="F34" s="23"/>
      <c r="G34" s="29"/>
      <c r="H34" s="29"/>
      <c r="I34" s="29"/>
      <c r="K34" s="26"/>
    </row>
    <row r="35" spans="2:10" ht="15.75">
      <c r="B35" s="27" t="s">
        <v>248</v>
      </c>
      <c r="G35" s="6" t="s">
        <v>1</v>
      </c>
      <c r="H35" s="8"/>
      <c r="J35" t="s">
        <v>0</v>
      </c>
    </row>
    <row r="36" spans="2:10" ht="15">
      <c r="B36" t="s">
        <v>105</v>
      </c>
      <c r="J36" t="s">
        <v>0</v>
      </c>
    </row>
    <row r="37" spans="2:11" ht="15">
      <c r="B37" t="s">
        <v>401</v>
      </c>
      <c r="G37" s="2">
        <f>Details!E349</f>
        <v>815.26</v>
      </c>
      <c r="H37" s="2"/>
      <c r="I37" s="2">
        <f>ROUND(G37/(Input!$G$19/100),2)</f>
        <v>8.32</v>
      </c>
      <c r="J37" t="s">
        <v>0</v>
      </c>
      <c r="K37" s="25"/>
    </row>
    <row r="38" spans="2:11" ht="15">
      <c r="B38" t="s">
        <v>106</v>
      </c>
      <c r="G38" s="2">
        <f>Details!E364</f>
        <v>182.43</v>
      </c>
      <c r="H38" s="2"/>
      <c r="I38" s="2">
        <f>ROUND(G38/(Input!$G$19/100),2)</f>
        <v>1.86</v>
      </c>
      <c r="J38" t="s">
        <v>0</v>
      </c>
      <c r="K38" s="25"/>
    </row>
    <row r="39" spans="2:10" ht="15">
      <c r="B39" t="s">
        <v>107</v>
      </c>
      <c r="I39" s="2"/>
      <c r="J39" t="s">
        <v>0</v>
      </c>
    </row>
    <row r="40" spans="2:11" ht="15">
      <c r="B40" t="s">
        <v>400</v>
      </c>
      <c r="G40" s="2">
        <f>Details!E433</f>
        <v>244.54</v>
      </c>
      <c r="H40" s="2"/>
      <c r="I40" s="2">
        <f>ROUND(G40/(Input!$G$19/100),2)</f>
        <v>2.5</v>
      </c>
      <c r="J40" t="s">
        <v>0</v>
      </c>
      <c r="K40" s="25"/>
    </row>
    <row r="41" spans="2:11" ht="15">
      <c r="B41" t="s">
        <v>108</v>
      </c>
      <c r="G41" s="2">
        <f>Details!E450</f>
        <v>27.25</v>
      </c>
      <c r="H41" s="2"/>
      <c r="I41" s="2">
        <f>ROUND(G41/(Input!$G$19/100),2)</f>
        <v>0.28</v>
      </c>
      <c r="J41" t="s">
        <v>0</v>
      </c>
      <c r="K41" s="25"/>
    </row>
    <row r="42" spans="2:11" ht="15">
      <c r="B42" t="s">
        <v>109</v>
      </c>
      <c r="G42" s="61">
        <f>Details!E455</f>
        <v>56.25</v>
      </c>
      <c r="H42" s="66"/>
      <c r="I42" s="61">
        <f>ROUND(G42/(Input!$G$19/100),2)</f>
        <v>0.57</v>
      </c>
      <c r="J42" t="s">
        <v>0</v>
      </c>
      <c r="K42" s="25"/>
    </row>
    <row r="43" spans="2:11" ht="15.75">
      <c r="B43" s="27" t="s">
        <v>110</v>
      </c>
      <c r="C43" s="23"/>
      <c r="D43" s="23"/>
      <c r="E43" s="23"/>
      <c r="F43" s="23"/>
      <c r="G43" s="29">
        <f>SUM(G37:G42)</f>
        <v>1325.73</v>
      </c>
      <c r="H43" s="29"/>
      <c r="I43" s="29">
        <f>SUM(I37:I42)</f>
        <v>13.53</v>
      </c>
      <c r="J43" t="s">
        <v>0</v>
      </c>
      <c r="K43" s="25"/>
    </row>
    <row r="44" spans="2:11" ht="7.5" customHeight="1">
      <c r="B44" s="28"/>
      <c r="G44" s="28"/>
      <c r="H44" s="28"/>
      <c r="I44" s="28"/>
      <c r="J44" s="14"/>
      <c r="K44" s="26"/>
    </row>
    <row r="45" spans="2:11" ht="15.75">
      <c r="B45" s="27" t="s">
        <v>111</v>
      </c>
      <c r="C45" s="23"/>
      <c r="D45" s="23"/>
      <c r="E45" s="23"/>
      <c r="F45" s="23"/>
      <c r="G45" s="29">
        <f>G33+G43</f>
        <v>6436.230000000001</v>
      </c>
      <c r="H45" s="29"/>
      <c r="I45" s="29">
        <f>I33+I43</f>
        <v>65.69714285714286</v>
      </c>
      <c r="J45" t="s">
        <v>0</v>
      </c>
      <c r="K45" s="25"/>
    </row>
    <row r="46" spans="2:11" ht="7.5" customHeight="1">
      <c r="B46" s="28"/>
      <c r="G46" s="28"/>
      <c r="H46" s="28"/>
      <c r="I46" s="28"/>
      <c r="J46" t="s">
        <v>0</v>
      </c>
      <c r="K46" s="26"/>
    </row>
    <row r="47" spans="2:11" ht="15.75">
      <c r="B47" s="27" t="s">
        <v>112</v>
      </c>
      <c r="C47" s="15"/>
      <c r="D47" s="15"/>
      <c r="E47" s="15"/>
      <c r="F47" s="15"/>
      <c r="G47" s="29">
        <f>Details!E466</f>
        <v>1124.7474747474748</v>
      </c>
      <c r="H47" s="29"/>
      <c r="I47" s="29">
        <f>G47/(Input!$G$19/100)</f>
        <v>11.47701504844362</v>
      </c>
      <c r="J47" t="s">
        <v>0</v>
      </c>
      <c r="K47" s="25"/>
    </row>
    <row r="48" spans="2:11" ht="15">
      <c r="B48" s="28"/>
      <c r="G48" s="28"/>
      <c r="H48" s="28"/>
      <c r="I48" s="28"/>
      <c r="J48" t="s">
        <v>0</v>
      </c>
      <c r="K48" s="26"/>
    </row>
    <row r="49" spans="2:11" ht="15.75">
      <c r="B49" s="27" t="s">
        <v>113</v>
      </c>
      <c r="C49" s="23"/>
      <c r="D49" s="23"/>
      <c r="E49" s="23"/>
      <c r="F49" s="23"/>
      <c r="G49" s="29">
        <f>G45+G47</f>
        <v>7560.977474747477</v>
      </c>
      <c r="H49" s="29"/>
      <c r="I49" s="75">
        <f>I45+I47</f>
        <v>77.17415790558648</v>
      </c>
      <c r="J49" t="s">
        <v>0</v>
      </c>
      <c r="K49" s="25"/>
    </row>
    <row r="50" spans="1:11" ht="7.5" customHeight="1" thickBot="1">
      <c r="A50" s="166"/>
      <c r="B50" s="166"/>
      <c r="C50" s="166"/>
      <c r="D50" s="166"/>
      <c r="E50" s="166"/>
      <c r="F50" s="166"/>
      <c r="G50" s="167"/>
      <c r="H50" s="167"/>
      <c r="I50" s="167"/>
      <c r="J50" s="166" t="s">
        <v>0</v>
      </c>
      <c r="K50" s="166"/>
    </row>
    <row r="51" spans="3:10" s="164" customFormat="1" ht="7.5" customHeight="1" thickTop="1">
      <c r="C51" s="165"/>
      <c r="D51" s="165"/>
      <c r="E51" s="165"/>
      <c r="F51" s="165"/>
      <c r="G51" s="165"/>
      <c r="H51" s="165"/>
      <c r="I51" s="165"/>
      <c r="J51" s="165"/>
    </row>
    <row r="52" spans="1:11" ht="15" customHeight="1">
      <c r="A52" s="240" t="s">
        <v>446</v>
      </c>
      <c r="B52" s="240"/>
      <c r="C52" s="240"/>
      <c r="D52" s="240"/>
      <c r="E52" s="240"/>
      <c r="F52" s="240"/>
      <c r="G52" s="240"/>
      <c r="H52" s="240"/>
      <c r="I52" s="240"/>
      <c r="J52" s="240"/>
      <c r="K52" s="240"/>
    </row>
    <row r="53" spans="1:11" ht="15">
      <c r="A53" s="240"/>
      <c r="B53" s="240"/>
      <c r="C53" s="240"/>
      <c r="D53" s="240"/>
      <c r="E53" s="240"/>
      <c r="F53" s="240"/>
      <c r="G53" s="240"/>
      <c r="H53" s="240"/>
      <c r="I53" s="240"/>
      <c r="J53" s="240"/>
      <c r="K53" s="240"/>
    </row>
    <row r="54" spans="1:11" ht="15">
      <c r="A54" s="240"/>
      <c r="B54" s="240"/>
      <c r="C54" s="240"/>
      <c r="D54" s="240"/>
      <c r="E54" s="240"/>
      <c r="F54" s="240"/>
      <c r="G54" s="240"/>
      <c r="H54" s="240"/>
      <c r="I54" s="240"/>
      <c r="J54" s="240"/>
      <c r="K54" s="240"/>
    </row>
    <row r="55" ht="15">
      <c r="J55" t="s">
        <v>0</v>
      </c>
    </row>
    <row r="56" ht="15">
      <c r="J56" t="s">
        <v>0</v>
      </c>
    </row>
    <row r="57" ht="15">
      <c r="J57" t="s">
        <v>0</v>
      </c>
    </row>
    <row r="58" ht="15">
      <c r="J58" t="s">
        <v>0</v>
      </c>
    </row>
    <row r="60" ht="15">
      <c r="J60" t="s">
        <v>0</v>
      </c>
    </row>
    <row r="61" ht="15">
      <c r="J61" t="s">
        <v>0</v>
      </c>
    </row>
    <row r="62" ht="15">
      <c r="J62" t="s">
        <v>0</v>
      </c>
    </row>
    <row r="63" ht="15">
      <c r="J63" t="s">
        <v>0</v>
      </c>
    </row>
    <row r="64" ht="15">
      <c r="J64" t="s">
        <v>0</v>
      </c>
    </row>
    <row r="65" ht="15">
      <c r="J65" t="s">
        <v>0</v>
      </c>
    </row>
    <row r="66" ht="15">
      <c r="J66" t="s">
        <v>0</v>
      </c>
    </row>
    <row r="67" ht="15">
      <c r="J67" t="s">
        <v>0</v>
      </c>
    </row>
    <row r="68" spans="7:10" ht="15">
      <c r="G68" s="2"/>
      <c r="H68" s="2"/>
      <c r="I68" s="1"/>
      <c r="J68" t="s">
        <v>0</v>
      </c>
    </row>
    <row r="69" spans="7:10" ht="15">
      <c r="G69" s="9"/>
      <c r="H69" s="2"/>
      <c r="J69" t="s">
        <v>0</v>
      </c>
    </row>
    <row r="70" spans="7:10" ht="15">
      <c r="G70" s="2"/>
      <c r="H70" s="2"/>
      <c r="I70" s="1"/>
      <c r="J70" t="s">
        <v>0</v>
      </c>
    </row>
    <row r="71" spans="7:10" ht="15">
      <c r="G71" s="9"/>
      <c r="H71" s="2"/>
      <c r="J71" t="s">
        <v>0</v>
      </c>
    </row>
    <row r="72" spans="7:10" ht="15">
      <c r="G72" s="2"/>
      <c r="H72" s="2"/>
      <c r="I72" s="1"/>
      <c r="J72" t="s">
        <v>0</v>
      </c>
    </row>
    <row r="73" spans="7:10" ht="15">
      <c r="G73" s="9"/>
      <c r="H73" s="2"/>
      <c r="J73" t="s">
        <v>0</v>
      </c>
    </row>
    <row r="74" spans="7:10" ht="15">
      <c r="G74" s="3"/>
      <c r="H74" s="3"/>
      <c r="I74" s="1"/>
      <c r="J74" t="s">
        <v>0</v>
      </c>
    </row>
    <row r="75" spans="7:10" ht="15">
      <c r="G75" s="4"/>
      <c r="H75" s="4"/>
      <c r="I75" s="1"/>
      <c r="J75" t="s">
        <v>0</v>
      </c>
    </row>
    <row r="76" spans="7:10" ht="15">
      <c r="G76" s="4"/>
      <c r="H76" s="4"/>
      <c r="I76" s="1"/>
      <c r="J76" t="s">
        <v>0</v>
      </c>
    </row>
    <row r="77" spans="7:10" ht="15">
      <c r="G77" s="9"/>
      <c r="H77" s="2"/>
      <c r="J77" t="s">
        <v>0</v>
      </c>
    </row>
    <row r="78" spans="7:10" ht="15">
      <c r="G78" s="3"/>
      <c r="H78" s="3"/>
      <c r="I78" s="1"/>
      <c r="J78" t="s">
        <v>0</v>
      </c>
    </row>
    <row r="79" spans="7:10" ht="15">
      <c r="G79" s="9"/>
      <c r="H79" s="2"/>
      <c r="J79" t="s">
        <v>0</v>
      </c>
    </row>
    <row r="80" spans="7:10" ht="15">
      <c r="G80" s="8"/>
      <c r="H80" s="8"/>
      <c r="I80" s="1"/>
      <c r="J80" t="s">
        <v>0</v>
      </c>
    </row>
    <row r="81" spans="7:10" ht="15">
      <c r="G81" s="9"/>
      <c r="H81" s="2"/>
      <c r="J81" t="s">
        <v>0</v>
      </c>
    </row>
    <row r="82" spans="7:10" ht="15">
      <c r="G82" s="11"/>
      <c r="H82" s="11"/>
      <c r="J82" t="s">
        <v>0</v>
      </c>
    </row>
    <row r="83" spans="7:10" ht="15">
      <c r="G83" s="9"/>
      <c r="H83" s="2"/>
      <c r="J83" t="s">
        <v>0</v>
      </c>
    </row>
    <row r="84" spans="7:10" ht="15">
      <c r="G84" s="11"/>
      <c r="H84" s="11"/>
      <c r="J84" t="s">
        <v>0</v>
      </c>
    </row>
    <row r="85" ht="15">
      <c r="J85" t="s">
        <v>0</v>
      </c>
    </row>
    <row r="86" ht="15">
      <c r="J86" t="s">
        <v>0</v>
      </c>
    </row>
    <row r="87" ht="15">
      <c r="J87" t="s">
        <v>0</v>
      </c>
    </row>
    <row r="88" ht="15">
      <c r="J88" t="s">
        <v>0</v>
      </c>
    </row>
    <row r="89" ht="15">
      <c r="J89" t="s">
        <v>0</v>
      </c>
    </row>
    <row r="90" ht="15">
      <c r="J90" t="s">
        <v>0</v>
      </c>
    </row>
    <row r="91" ht="15">
      <c r="J91" t="s">
        <v>0</v>
      </c>
    </row>
    <row r="92" ht="15">
      <c r="J92" t="s">
        <v>0</v>
      </c>
    </row>
    <row r="93" ht="15">
      <c r="J93" t="s">
        <v>0</v>
      </c>
    </row>
    <row r="94" ht="15">
      <c r="J94" t="s">
        <v>0</v>
      </c>
    </row>
    <row r="95" ht="15">
      <c r="J95" t="s">
        <v>0</v>
      </c>
    </row>
    <row r="96" ht="15">
      <c r="J96" t="s">
        <v>0</v>
      </c>
    </row>
  </sheetData>
  <sheetProtection password="C6A6" sheet="1" objects="1" scenarios="1"/>
  <mergeCells count="3">
    <mergeCell ref="B1:K1"/>
    <mergeCell ref="B2:K2"/>
    <mergeCell ref="A52:K54"/>
  </mergeCells>
  <printOptions horizontalCentered="1"/>
  <pageMargins left="0.7480314960629921" right="0.7480314960629921" top="0.984251968503937" bottom="0.984251968503937" header="0.5118110236220472" footer="0.5118110236220472"/>
  <pageSetup firstPageNumber="2" useFirstPageNumber="1" fitToHeight="1" fitToWidth="1" horizontalDpi="600" verticalDpi="600" orientation="portrait" scale="83" r:id="rId1"/>
  <headerFooter alignWithMargins="0">
    <oddHeader>&amp;L&amp;11Guidelines: Dairy Production Costs &amp;R&amp;11&amp;P</oddHeader>
    <oddFooter>&amp;R&amp;10Manitoba Agriculture</oddFooter>
  </headerFooter>
  <rowBreaks count="1" manualBreakCount="1">
    <brk id="49" max="255" man="1"/>
  </rowBreaks>
  <ignoredErrors>
    <ignoredError sqref="G13 I13" emptyCellReference="1"/>
  </ignoredErrors>
</worksheet>
</file>

<file path=xl/worksheets/sheet3.xml><?xml version="1.0" encoding="utf-8"?>
<worksheet xmlns="http://schemas.openxmlformats.org/spreadsheetml/2006/main" xmlns:r="http://schemas.openxmlformats.org/officeDocument/2006/relationships">
  <sheetPr codeName="Sheet3"/>
  <dimension ref="A1:AK213"/>
  <sheetViews>
    <sheetView workbookViewId="0" topLeftCell="B1">
      <selection activeCell="B1" sqref="B1:I1"/>
    </sheetView>
  </sheetViews>
  <sheetFormatPr defaultColWidth="9.77734375" defaultRowHeight="15"/>
  <cols>
    <col min="1" max="1" width="1.66796875" style="94" customWidth="1"/>
    <col min="2" max="2" width="6.4453125" style="94" customWidth="1"/>
    <col min="3" max="4" width="9.6640625" style="94" customWidth="1"/>
    <col min="5" max="5" width="9.77734375" style="94" customWidth="1"/>
    <col min="6" max="6" width="13.4453125" style="94" customWidth="1"/>
    <col min="7" max="7" width="12.10546875" style="94" customWidth="1"/>
    <col min="8" max="8" width="7.88671875" style="94" customWidth="1"/>
    <col min="9" max="9" width="7.3359375" style="94" customWidth="1"/>
    <col min="10" max="10" width="2.6640625" style="94" customWidth="1"/>
    <col min="11" max="11" width="6.21484375" style="94" customWidth="1"/>
    <col min="12" max="12" width="6.4453125" style="94" customWidth="1"/>
    <col min="13" max="13" width="6.99609375" style="94" customWidth="1"/>
    <col min="14" max="14" width="9.77734375" style="94" customWidth="1"/>
    <col min="15" max="15" width="9.6640625" style="94" customWidth="1"/>
    <col min="16" max="16" width="12.3359375" style="94" customWidth="1"/>
    <col min="17" max="17" width="10.6640625" style="94" customWidth="1"/>
    <col min="18" max="18" width="3.21484375" style="94" customWidth="1"/>
    <col min="19" max="19" width="1.66796875" style="94" customWidth="1"/>
    <col min="20" max="20" width="7.6640625" style="94" customWidth="1"/>
    <col min="21" max="21" width="8.99609375" style="94" customWidth="1"/>
    <col min="22" max="22" width="4.99609375" style="94" customWidth="1"/>
    <col min="23" max="23" width="13.88671875" style="94" customWidth="1"/>
    <col min="24" max="24" width="2.6640625" style="94" customWidth="1"/>
    <col min="25" max="25" width="5.6640625" style="94" customWidth="1"/>
    <col min="26" max="26" width="19.10546875" style="94" customWidth="1"/>
    <col min="27" max="27" width="13.6640625" style="94" customWidth="1"/>
    <col min="28" max="28" width="1.66796875" style="94" customWidth="1"/>
    <col min="29" max="35" width="9.77734375" style="94" customWidth="1"/>
    <col min="36" max="36" width="11.6640625" style="94" customWidth="1"/>
    <col min="37" max="16384" width="9.77734375" style="94" customWidth="1"/>
  </cols>
  <sheetData>
    <row r="1" spans="1:9" ht="23.25" customHeight="1">
      <c r="A1" s="96"/>
      <c r="B1" s="246" t="s">
        <v>447</v>
      </c>
      <c r="C1" s="246"/>
      <c r="D1" s="246"/>
      <c r="E1" s="246"/>
      <c r="F1" s="246"/>
      <c r="G1" s="246"/>
      <c r="H1" s="246"/>
      <c r="I1" s="246"/>
    </row>
    <row r="2" spans="1:8" ht="15" customHeight="1">
      <c r="A2" s="96"/>
      <c r="B2" s="97"/>
      <c r="C2" s="98"/>
      <c r="D2" s="98"/>
      <c r="E2" s="98"/>
      <c r="F2" s="98"/>
      <c r="G2" s="98"/>
      <c r="H2" s="98"/>
    </row>
    <row r="3" spans="2:37" ht="15.75" customHeight="1">
      <c r="B3" s="241" t="s">
        <v>297</v>
      </c>
      <c r="C3" s="241"/>
      <c r="D3" s="241"/>
      <c r="E3" s="241"/>
      <c r="F3" s="241"/>
      <c r="G3" s="241"/>
      <c r="H3" s="241"/>
      <c r="I3" s="241"/>
      <c r="AK3" s="94" t="s">
        <v>1</v>
      </c>
    </row>
    <row r="4" spans="2:8" ht="7.5" customHeight="1">
      <c r="B4" s="99"/>
      <c r="C4" s="99"/>
      <c r="D4" s="99"/>
      <c r="E4" s="99"/>
      <c r="F4" s="99"/>
      <c r="G4" s="99"/>
      <c r="H4" s="99"/>
    </row>
    <row r="5" spans="2:37" ht="15.75">
      <c r="B5" s="94" t="s">
        <v>2</v>
      </c>
      <c r="E5" s="94" t="s">
        <v>3</v>
      </c>
      <c r="F5" s="94" t="s">
        <v>4</v>
      </c>
      <c r="G5" s="83" t="s">
        <v>5</v>
      </c>
      <c r="I5" s="94" t="s">
        <v>0</v>
      </c>
      <c r="AC5" s="94" t="s">
        <v>0</v>
      </c>
      <c r="AK5" s="94" t="s">
        <v>1</v>
      </c>
    </row>
    <row r="6" spans="2:37" ht="15.75">
      <c r="B6" s="94" t="s">
        <v>6</v>
      </c>
      <c r="G6" s="83" t="s">
        <v>7</v>
      </c>
      <c r="I6" s="94" t="s">
        <v>0</v>
      </c>
      <c r="J6" s="95"/>
      <c r="AK6" s="94" t="s">
        <v>1</v>
      </c>
    </row>
    <row r="7" spans="2:37" ht="15.75">
      <c r="B7" s="94" t="s">
        <v>299</v>
      </c>
      <c r="G7" s="83" t="s">
        <v>8</v>
      </c>
      <c r="I7" s="94" t="s">
        <v>0</v>
      </c>
      <c r="AK7" s="94" t="s">
        <v>1</v>
      </c>
    </row>
    <row r="8" spans="2:37" ht="15">
      <c r="B8" s="94" t="s">
        <v>15</v>
      </c>
      <c r="I8" s="94" t="s">
        <v>0</v>
      </c>
      <c r="AI8" s="94" t="s">
        <v>1</v>
      </c>
      <c r="AJ8" s="94" t="s">
        <v>1</v>
      </c>
      <c r="AK8" s="94" t="s">
        <v>1</v>
      </c>
    </row>
    <row r="9" spans="2:37" ht="15.75">
      <c r="B9" s="94" t="s">
        <v>0</v>
      </c>
      <c r="C9" s="94" t="s">
        <v>16</v>
      </c>
      <c r="G9" s="85">
        <v>100</v>
      </c>
      <c r="H9" s="101" t="s">
        <v>17</v>
      </c>
      <c r="J9" s="102"/>
      <c r="AK9" s="94" t="s">
        <v>1</v>
      </c>
    </row>
    <row r="10" spans="3:37" ht="15.75">
      <c r="C10" s="94" t="s">
        <v>300</v>
      </c>
      <c r="G10" s="103">
        <v>1.21</v>
      </c>
      <c r="H10" s="101" t="s">
        <v>17</v>
      </c>
      <c r="I10" s="94" t="s">
        <v>0</v>
      </c>
      <c r="AK10" s="94" t="s">
        <v>1</v>
      </c>
    </row>
    <row r="11" spans="2:37" ht="15.75">
      <c r="B11" s="94" t="s">
        <v>9</v>
      </c>
      <c r="G11" s="100"/>
      <c r="I11" s="94" t="s">
        <v>0</v>
      </c>
      <c r="AK11" s="94" t="s">
        <v>1</v>
      </c>
    </row>
    <row r="12" spans="3:36" ht="15.75">
      <c r="C12" s="94" t="s">
        <v>12</v>
      </c>
      <c r="G12" s="40">
        <v>82.6</v>
      </c>
      <c r="H12" s="94" t="s">
        <v>11</v>
      </c>
      <c r="I12" s="94" t="s">
        <v>0</v>
      </c>
      <c r="AH12" s="94" t="s">
        <v>1</v>
      </c>
      <c r="AI12" s="94" t="s">
        <v>1</v>
      </c>
      <c r="AJ12" s="94" t="s">
        <v>1</v>
      </c>
    </row>
    <row r="13" spans="3:37" ht="15.75">
      <c r="C13" s="94" t="s">
        <v>13</v>
      </c>
      <c r="G13" s="93">
        <f>G12*0.2</f>
        <v>16.52</v>
      </c>
      <c r="H13" s="94" t="s">
        <v>11</v>
      </c>
      <c r="I13" s="94" t="s">
        <v>0</v>
      </c>
      <c r="AI13" s="94" t="s">
        <v>1</v>
      </c>
      <c r="AJ13" s="94" t="s">
        <v>1</v>
      </c>
      <c r="AK13" s="94" t="s">
        <v>1</v>
      </c>
    </row>
    <row r="14" spans="3:37" ht="15.75">
      <c r="C14" s="94" t="s">
        <v>10</v>
      </c>
      <c r="G14" s="161">
        <f>ROUND(G12+G13,0)</f>
        <v>99</v>
      </c>
      <c r="H14" s="94" t="s">
        <v>11</v>
      </c>
      <c r="I14" s="94" t="s">
        <v>0</v>
      </c>
      <c r="AI14" s="94" t="s">
        <v>1</v>
      </c>
      <c r="AJ14" s="94" t="s">
        <v>1</v>
      </c>
      <c r="AK14" s="94" t="s">
        <v>1</v>
      </c>
    </row>
    <row r="15" spans="2:37" ht="15.75">
      <c r="B15" s="94" t="s">
        <v>14</v>
      </c>
      <c r="G15" s="100"/>
      <c r="I15" s="94" t="s">
        <v>0</v>
      </c>
      <c r="AI15" s="94" t="s">
        <v>1</v>
      </c>
      <c r="AJ15" s="94" t="s">
        <v>1</v>
      </c>
      <c r="AK15" s="94" t="s">
        <v>1</v>
      </c>
    </row>
    <row r="16" spans="3:37" ht="15.75">
      <c r="C16" s="94" t="s">
        <v>260</v>
      </c>
      <c r="G16" s="93">
        <f>ROUND(G14*0.26,0)</f>
        <v>26</v>
      </c>
      <c r="H16" s="94" t="s">
        <v>11</v>
      </c>
      <c r="I16" s="94" t="s">
        <v>0</v>
      </c>
      <c r="AI16" s="94" t="s">
        <v>1</v>
      </c>
      <c r="AJ16" s="94" t="s">
        <v>1</v>
      </c>
      <c r="AK16" s="94" t="s">
        <v>1</v>
      </c>
    </row>
    <row r="17" spans="3:37" ht="15.75">
      <c r="C17" s="94" t="s">
        <v>261</v>
      </c>
      <c r="G17" s="93">
        <f>ROUND(G14*0.74,0)</f>
        <v>73</v>
      </c>
      <c r="H17" s="94" t="s">
        <v>11</v>
      </c>
      <c r="I17" s="94" t="s">
        <v>0</v>
      </c>
      <c r="AI17" s="94" t="s">
        <v>1</v>
      </c>
      <c r="AJ17" s="94" t="s">
        <v>1</v>
      </c>
      <c r="AK17" s="94" t="s">
        <v>1</v>
      </c>
    </row>
    <row r="18" spans="2:37" ht="15.75">
      <c r="B18" s="94" t="s">
        <v>18</v>
      </c>
      <c r="G18" s="100" t="s">
        <v>0</v>
      </c>
      <c r="H18" s="94" t="s">
        <v>1</v>
      </c>
      <c r="I18" s="94" t="s">
        <v>0</v>
      </c>
      <c r="AK18" s="94" t="s">
        <v>1</v>
      </c>
    </row>
    <row r="19" spans="3:37" ht="15.75">
      <c r="C19" s="94" t="s">
        <v>405</v>
      </c>
      <c r="G19" s="40">
        <v>9800</v>
      </c>
      <c r="H19" s="94" t="s">
        <v>19</v>
      </c>
      <c r="AK19" s="94" t="s">
        <v>1</v>
      </c>
    </row>
    <row r="20" spans="3:37" ht="15.75">
      <c r="C20" s="94" t="s">
        <v>406</v>
      </c>
      <c r="G20" s="93">
        <f>G21*G19/100</f>
        <v>377.3</v>
      </c>
      <c r="H20" s="94" t="s">
        <v>17</v>
      </c>
      <c r="AI20" s="94" t="s">
        <v>1</v>
      </c>
      <c r="AK20" s="94" t="s">
        <v>1</v>
      </c>
    </row>
    <row r="21" spans="3:37" ht="15.75">
      <c r="C21" s="94" t="s">
        <v>20</v>
      </c>
      <c r="G21" s="41">
        <v>3.85</v>
      </c>
      <c r="H21" s="94" t="s">
        <v>17</v>
      </c>
      <c r="AI21" s="94" t="s">
        <v>1</v>
      </c>
      <c r="AK21" s="94" t="s">
        <v>1</v>
      </c>
    </row>
    <row r="22" spans="3:37" ht="15.75">
      <c r="C22" s="94" t="s">
        <v>21</v>
      </c>
      <c r="G22" s="41">
        <v>3.3</v>
      </c>
      <c r="H22" s="94" t="s">
        <v>17</v>
      </c>
      <c r="AI22" s="94" t="s">
        <v>1</v>
      </c>
      <c r="AK22" s="94" t="s">
        <v>1</v>
      </c>
    </row>
    <row r="23" spans="3:37" ht="15.75">
      <c r="C23" s="94" t="s">
        <v>22</v>
      </c>
      <c r="G23" s="85">
        <v>14</v>
      </c>
      <c r="H23" s="94" t="s">
        <v>23</v>
      </c>
      <c r="AI23" s="94" t="s">
        <v>1</v>
      </c>
      <c r="AK23" s="94" t="s">
        <v>1</v>
      </c>
    </row>
    <row r="24" spans="3:8" ht="15.75">
      <c r="C24" s="94" t="s">
        <v>407</v>
      </c>
      <c r="G24" s="40">
        <v>345</v>
      </c>
      <c r="H24" s="94" t="s">
        <v>25</v>
      </c>
    </row>
    <row r="25" spans="3:37" ht="15.75">
      <c r="C25" s="94" t="s">
        <v>24</v>
      </c>
      <c r="G25" s="40">
        <v>85</v>
      </c>
      <c r="H25" s="94" t="s">
        <v>25</v>
      </c>
      <c r="AI25" s="94" t="s">
        <v>1</v>
      </c>
      <c r="AK25" s="94" t="s">
        <v>1</v>
      </c>
    </row>
    <row r="26" spans="3:37" ht="15.75">
      <c r="C26" s="131" t="s">
        <v>430</v>
      </c>
      <c r="G26" s="162" t="s">
        <v>431</v>
      </c>
      <c r="AI26" s="94" t="s">
        <v>1</v>
      </c>
      <c r="AK26" s="94" t="s">
        <v>1</v>
      </c>
    </row>
    <row r="27" spans="3:37" ht="15.75">
      <c r="C27" s="94" t="s">
        <v>26</v>
      </c>
      <c r="G27" s="162" t="s">
        <v>27</v>
      </c>
      <c r="AI27" s="94" t="s">
        <v>1</v>
      </c>
      <c r="AK27" s="94" t="s">
        <v>1</v>
      </c>
    </row>
    <row r="28" spans="3:37" ht="15.75">
      <c r="C28" s="94" t="s">
        <v>337</v>
      </c>
      <c r="G28" s="163">
        <v>1485</v>
      </c>
      <c r="H28" s="94" t="s">
        <v>28</v>
      </c>
      <c r="AI28" s="94" t="s">
        <v>1</v>
      </c>
      <c r="AK28" s="94" t="s">
        <v>1</v>
      </c>
    </row>
    <row r="29" spans="3:8" ht="15.75">
      <c r="C29" s="94" t="s">
        <v>338</v>
      </c>
      <c r="G29" s="163">
        <v>1375</v>
      </c>
      <c r="H29" s="94" t="s">
        <v>28</v>
      </c>
    </row>
    <row r="30" spans="2:37" ht="15">
      <c r="B30" s="94" t="s">
        <v>29</v>
      </c>
      <c r="AI30" s="94" t="s">
        <v>1</v>
      </c>
      <c r="AK30" s="94" t="s">
        <v>1</v>
      </c>
    </row>
    <row r="31" spans="3:37" ht="15.75">
      <c r="C31" s="94" t="s">
        <v>30</v>
      </c>
      <c r="G31" s="83" t="s">
        <v>8</v>
      </c>
      <c r="AI31" s="94" t="s">
        <v>1</v>
      </c>
      <c r="AK31" s="94" t="s">
        <v>1</v>
      </c>
    </row>
    <row r="32" spans="3:37" ht="15.75">
      <c r="C32" s="94" t="s">
        <v>31</v>
      </c>
      <c r="G32" s="83" t="s">
        <v>8</v>
      </c>
      <c r="AI32" s="94" t="s">
        <v>1</v>
      </c>
      <c r="AK32" s="94" t="s">
        <v>1</v>
      </c>
    </row>
    <row r="33" spans="3:37" ht="15.75">
      <c r="C33" s="94" t="s">
        <v>379</v>
      </c>
      <c r="G33" s="78">
        <v>0.3</v>
      </c>
      <c r="AI33" s="94" t="s">
        <v>1</v>
      </c>
      <c r="AK33" s="94" t="s">
        <v>1</v>
      </c>
    </row>
    <row r="34" spans="3:7" ht="15.75">
      <c r="C34" s="94" t="s">
        <v>339</v>
      </c>
      <c r="G34" s="78">
        <v>0.04</v>
      </c>
    </row>
    <row r="35" spans="3:7" ht="15.75">
      <c r="C35" s="94" t="s">
        <v>262</v>
      </c>
      <c r="G35" s="78">
        <v>0.94</v>
      </c>
    </row>
    <row r="36" spans="2:37" ht="15">
      <c r="B36" s="94" t="s">
        <v>32</v>
      </c>
      <c r="AI36" s="94" t="s">
        <v>1</v>
      </c>
      <c r="AK36" s="94" t="s">
        <v>1</v>
      </c>
    </row>
    <row r="37" spans="3:37" ht="15.75">
      <c r="C37" s="94" t="s">
        <v>33</v>
      </c>
      <c r="G37" s="52">
        <v>2500</v>
      </c>
      <c r="AI37" s="94" t="s">
        <v>1</v>
      </c>
      <c r="AK37" s="94" t="s">
        <v>1</v>
      </c>
    </row>
    <row r="38" spans="3:37" ht="15.75">
      <c r="C38" s="94" t="s">
        <v>34</v>
      </c>
      <c r="G38" s="52">
        <v>3000</v>
      </c>
      <c r="AI38" s="94" t="s">
        <v>1</v>
      </c>
      <c r="AK38" s="94" t="s">
        <v>1</v>
      </c>
    </row>
    <row r="39" spans="3:37" ht="15.75">
      <c r="C39" s="94" t="s">
        <v>189</v>
      </c>
      <c r="G39" s="52">
        <v>1400</v>
      </c>
      <c r="AI39" s="94" t="s">
        <v>1</v>
      </c>
      <c r="AK39" s="94" t="s">
        <v>1</v>
      </c>
    </row>
    <row r="40" spans="3:7" ht="15.75">
      <c r="C40" s="94" t="s">
        <v>197</v>
      </c>
      <c r="G40" s="52">
        <v>300</v>
      </c>
    </row>
    <row r="41" spans="3:37" ht="15.75">
      <c r="C41" s="94" t="s">
        <v>35</v>
      </c>
      <c r="G41" s="52">
        <v>50</v>
      </c>
      <c r="AI41" s="94" t="s">
        <v>1</v>
      </c>
      <c r="AK41" s="94" t="s">
        <v>1</v>
      </c>
    </row>
    <row r="42" spans="35:37" ht="15">
      <c r="AI42" s="94" t="s">
        <v>1</v>
      </c>
      <c r="AK42" s="94" t="s">
        <v>1</v>
      </c>
    </row>
    <row r="44" spans="2:37" ht="15.75">
      <c r="B44" s="241" t="s">
        <v>298</v>
      </c>
      <c r="C44" s="242"/>
      <c r="D44" s="242"/>
      <c r="E44" s="242"/>
      <c r="F44" s="242"/>
      <c r="G44" s="242"/>
      <c r="H44" s="242"/>
      <c r="I44" s="242"/>
      <c r="AI44" s="94" t="s">
        <v>1</v>
      </c>
      <c r="AK44" s="94" t="s">
        <v>1</v>
      </c>
    </row>
    <row r="45" spans="2:37" ht="18">
      <c r="B45" s="105"/>
      <c r="C45" s="106"/>
      <c r="D45" s="106"/>
      <c r="E45" s="106"/>
      <c r="F45" s="106"/>
      <c r="G45" s="106"/>
      <c r="H45" s="106"/>
      <c r="AI45" s="94" t="s">
        <v>1</v>
      </c>
      <c r="AK45" s="94" t="s">
        <v>1</v>
      </c>
    </row>
    <row r="46" spans="2:37" ht="15" customHeight="1">
      <c r="B46" s="249" t="str">
        <f>"Based on a "&amp;G23&amp;"-month calving interval (CI) comprised of a "&amp;G24&amp;"-day lactation period and a "&amp;G25&amp;"-day dry period."</f>
        <v>Based on a 14-month calving interval (CI) comprised of a 345-day lactation period and a 85-day dry period.</v>
      </c>
      <c r="C46" s="249"/>
      <c r="D46" s="249"/>
      <c r="E46" s="249"/>
      <c r="F46" s="249"/>
      <c r="G46" s="249"/>
      <c r="H46" s="249"/>
      <c r="I46" s="249"/>
      <c r="AI46" s="94" t="s">
        <v>1</v>
      </c>
      <c r="AK46" s="94" t="s">
        <v>1</v>
      </c>
    </row>
    <row r="47" spans="2:37" ht="15">
      <c r="B47" s="249"/>
      <c r="C47" s="249"/>
      <c r="D47" s="249"/>
      <c r="E47" s="249"/>
      <c r="F47" s="249"/>
      <c r="G47" s="249"/>
      <c r="H47" s="249"/>
      <c r="I47" s="249"/>
      <c r="AK47" s="94" t="s">
        <v>1</v>
      </c>
    </row>
    <row r="48" spans="2:37" ht="18">
      <c r="B48" s="105"/>
      <c r="C48" s="106"/>
      <c r="D48" s="106"/>
      <c r="E48" s="106"/>
      <c r="F48" s="106"/>
      <c r="G48" s="106"/>
      <c r="H48" s="106"/>
      <c r="AK48" s="94" t="s">
        <v>1</v>
      </c>
    </row>
    <row r="49" spans="2:37" ht="15">
      <c r="B49" s="243" t="str">
        <f>"Feed requirements and feed cost of production guideline calculations are based on meeting the nutrient requirements of a herd with an "&amp;G19&amp;" L/cow milk production average (or 31.5 L/day). A single total mixed ration (TMR) was balanced and fed for a production level 30% higher than the herd average daily production."</f>
        <v>Feed requirements and feed cost of production guideline calculations are based on meeting the nutrient requirements of a herd with an 9800 L/cow milk production average (or 31.5 L/day). A single total mixed ration (TMR) was balanced and fed for a production level 30% higher than the herd average daily production.</v>
      </c>
      <c r="C49" s="244"/>
      <c r="D49" s="244"/>
      <c r="E49" s="244"/>
      <c r="F49" s="244"/>
      <c r="G49" s="244"/>
      <c r="H49" s="244"/>
      <c r="I49" s="244"/>
      <c r="AK49" s="94" t="s">
        <v>1</v>
      </c>
    </row>
    <row r="50" spans="2:37" ht="15">
      <c r="B50" s="244"/>
      <c r="C50" s="244"/>
      <c r="D50" s="244"/>
      <c r="E50" s="244"/>
      <c r="F50" s="244"/>
      <c r="G50" s="244"/>
      <c r="H50" s="244"/>
      <c r="I50" s="244"/>
      <c r="AK50" s="94" t="s">
        <v>1</v>
      </c>
    </row>
    <row r="51" spans="2:37" ht="15">
      <c r="B51" s="244"/>
      <c r="C51" s="244"/>
      <c r="D51" s="244"/>
      <c r="E51" s="244"/>
      <c r="F51" s="244"/>
      <c r="G51" s="244"/>
      <c r="H51" s="244"/>
      <c r="I51" s="244"/>
      <c r="AK51" s="94" t="s">
        <v>1</v>
      </c>
    </row>
    <row r="52" spans="2:37" ht="15">
      <c r="B52" s="244"/>
      <c r="C52" s="244"/>
      <c r="D52" s="244"/>
      <c r="E52" s="244"/>
      <c r="F52" s="244"/>
      <c r="G52" s="244"/>
      <c r="H52" s="244"/>
      <c r="I52" s="244"/>
      <c r="AK52" s="94" t="s">
        <v>1</v>
      </c>
    </row>
    <row r="53" spans="2:37" ht="15">
      <c r="B53" s="244"/>
      <c r="C53" s="244"/>
      <c r="D53" s="244"/>
      <c r="E53" s="244"/>
      <c r="F53" s="244"/>
      <c r="G53" s="244"/>
      <c r="H53" s="244"/>
      <c r="I53" s="244"/>
      <c r="AK53" s="94" t="s">
        <v>1</v>
      </c>
    </row>
    <row r="54" spans="2:37" ht="15">
      <c r="B54" s="108"/>
      <c r="C54" s="108"/>
      <c r="D54" s="108"/>
      <c r="E54" s="108"/>
      <c r="F54" s="108"/>
      <c r="G54" s="108"/>
      <c r="H54" s="108"/>
      <c r="AK54" s="94" t="s">
        <v>1</v>
      </c>
    </row>
    <row r="55" spans="2:37" ht="15.75" customHeight="1">
      <c r="B55" s="245" t="s">
        <v>211</v>
      </c>
      <c r="C55" s="245"/>
      <c r="D55" s="245"/>
      <c r="E55" s="245"/>
      <c r="F55" s="245"/>
      <c r="G55" s="245"/>
      <c r="H55" s="245"/>
      <c r="I55" s="107"/>
      <c r="AK55" s="94" t="s">
        <v>1</v>
      </c>
    </row>
    <row r="56" spans="5:37" ht="15.75">
      <c r="E56" s="256" t="s">
        <v>12</v>
      </c>
      <c r="F56" s="257"/>
      <c r="G56" s="256" t="s">
        <v>13</v>
      </c>
      <c r="H56" s="257"/>
      <c r="AK56" s="94" t="s">
        <v>1</v>
      </c>
    </row>
    <row r="57" spans="2:37" ht="15">
      <c r="B57" s="94" t="s">
        <v>212</v>
      </c>
      <c r="E57" s="94">
        <v>40</v>
      </c>
      <c r="F57" s="94" t="s">
        <v>219</v>
      </c>
      <c r="G57" s="94">
        <v>85</v>
      </c>
      <c r="H57" s="94" t="s">
        <v>219</v>
      </c>
      <c r="AK57" s="94" t="s">
        <v>1</v>
      </c>
    </row>
    <row r="58" spans="2:37" ht="15">
      <c r="B58" s="94" t="s">
        <v>213</v>
      </c>
      <c r="E58" s="109">
        <v>1.45</v>
      </c>
      <c r="F58" s="94" t="s">
        <v>220</v>
      </c>
      <c r="G58" s="109">
        <v>1.25</v>
      </c>
      <c r="H58" s="94" t="s">
        <v>220</v>
      </c>
      <c r="AK58" s="94" t="s">
        <v>1</v>
      </c>
    </row>
    <row r="59" spans="2:37" ht="15">
      <c r="B59" s="94" t="s">
        <v>214</v>
      </c>
      <c r="E59" s="94">
        <v>64</v>
      </c>
      <c r="F59" s="94" t="s">
        <v>221</v>
      </c>
      <c r="G59" s="94">
        <v>57</v>
      </c>
      <c r="H59" s="94" t="s">
        <v>221</v>
      </c>
      <c r="AC59" s="94" t="s">
        <v>0</v>
      </c>
      <c r="AK59" s="94" t="s">
        <v>1</v>
      </c>
    </row>
    <row r="60" spans="2:8" ht="15">
      <c r="B60" s="94" t="s">
        <v>215</v>
      </c>
      <c r="E60" s="94">
        <v>20</v>
      </c>
      <c r="F60" s="94" t="s">
        <v>222</v>
      </c>
      <c r="G60" s="94">
        <v>14</v>
      </c>
      <c r="H60" s="94" t="s">
        <v>222</v>
      </c>
    </row>
    <row r="61" spans="2:8" ht="15">
      <c r="B61" s="94" t="s">
        <v>216</v>
      </c>
      <c r="E61" s="94">
        <v>30</v>
      </c>
      <c r="F61" s="94" t="s">
        <v>223</v>
      </c>
      <c r="G61" s="94">
        <v>40</v>
      </c>
      <c r="H61" s="94" t="s">
        <v>223</v>
      </c>
    </row>
    <row r="62" spans="2:8" ht="15">
      <c r="B62" s="94" t="s">
        <v>217</v>
      </c>
      <c r="E62" s="94">
        <v>40</v>
      </c>
      <c r="F62" s="94" t="s">
        <v>224</v>
      </c>
      <c r="G62" s="94">
        <v>55</v>
      </c>
      <c r="H62" s="94" t="s">
        <v>224</v>
      </c>
    </row>
    <row r="63" spans="2:8" ht="15">
      <c r="B63" s="94" t="s">
        <v>218</v>
      </c>
      <c r="E63" s="94">
        <v>150</v>
      </c>
      <c r="F63" s="94" t="s">
        <v>225</v>
      </c>
      <c r="G63" s="94">
        <v>100</v>
      </c>
      <c r="H63" s="94" t="s">
        <v>225</v>
      </c>
    </row>
    <row r="66" spans="2:9" ht="15">
      <c r="B66" s="254" t="s">
        <v>227</v>
      </c>
      <c r="C66" s="254"/>
      <c r="D66" s="254"/>
      <c r="E66" s="254"/>
      <c r="F66" s="254"/>
      <c r="G66" s="254"/>
      <c r="H66" s="254"/>
      <c r="I66" s="255"/>
    </row>
    <row r="67" spans="2:7" ht="15">
      <c r="B67" s="131" t="s">
        <v>429</v>
      </c>
      <c r="F67" s="155">
        <f>E90</f>
        <v>120</v>
      </c>
      <c r="G67" s="111" t="s">
        <v>226</v>
      </c>
    </row>
    <row r="68" spans="2:7" ht="15">
      <c r="B68" s="94" t="s">
        <v>425</v>
      </c>
      <c r="F68" s="155">
        <f>E78</f>
        <v>50</v>
      </c>
      <c r="G68" s="111" t="s">
        <v>226</v>
      </c>
    </row>
    <row r="69" spans="6:7" ht="15">
      <c r="F69" s="110"/>
      <c r="G69" s="111"/>
    </row>
    <row r="70" spans="6:7" ht="15">
      <c r="F70" s="110"/>
      <c r="G70" s="111"/>
    </row>
    <row r="71" ht="15.75">
      <c r="B71" s="92" t="s">
        <v>12</v>
      </c>
    </row>
    <row r="72" spans="2:9" ht="15">
      <c r="B72" s="252" t="str">
        <f>"Assuming a body weight of "&amp;Input!G29&amp;" lbs producing "&amp;Input!G19&amp;" L milk/lactation with a composition of "&amp;Input!G21&amp;" kgs BF, "&amp;Input!G22&amp;"0 kgs Protein and 9.00 kgs Solids Non-Fat (SNF)/hl of milk."</f>
        <v>Assuming a body weight of 1375 lbs producing 9800 L milk/lactation with a composition of 3.85 kgs BF, 3.30 kgs Protein and 9.00 kgs Solids Non-Fat (SNF)/hl of milk.</v>
      </c>
      <c r="C72" s="253"/>
      <c r="D72" s="253"/>
      <c r="E72" s="253"/>
      <c r="F72" s="253"/>
      <c r="G72" s="253"/>
      <c r="H72" s="253"/>
      <c r="I72" s="253"/>
    </row>
    <row r="73" spans="2:9" ht="15">
      <c r="B73" s="253"/>
      <c r="C73" s="253"/>
      <c r="D73" s="253"/>
      <c r="E73" s="253"/>
      <c r="F73" s="253"/>
      <c r="G73" s="253"/>
      <c r="H73" s="253"/>
      <c r="I73" s="253"/>
    </row>
    <row r="74" spans="2:8" ht="19.5" customHeight="1">
      <c r="B74" s="131"/>
      <c r="C74" s="131"/>
      <c r="D74" s="131"/>
      <c r="E74" s="131"/>
      <c r="F74" s="131"/>
      <c r="G74" s="131"/>
      <c r="H74" s="131"/>
    </row>
    <row r="75" spans="2:8" ht="15.75">
      <c r="B75" s="112"/>
      <c r="C75" s="112"/>
      <c r="D75" s="112"/>
      <c r="E75" s="112"/>
      <c r="F75" s="113" t="s">
        <v>364</v>
      </c>
      <c r="G75" s="112"/>
      <c r="H75" s="112"/>
    </row>
    <row r="76" spans="4:9" ht="15.75">
      <c r="D76" s="92"/>
      <c r="E76" s="92"/>
      <c r="F76" s="113" t="s">
        <v>365</v>
      </c>
      <c r="G76" s="113" t="s">
        <v>195</v>
      </c>
      <c r="H76" s="113" t="s">
        <v>377</v>
      </c>
      <c r="I76" s="113" t="s">
        <v>264</v>
      </c>
    </row>
    <row r="77" spans="2:9" ht="15.75">
      <c r="B77" s="136" t="s">
        <v>12</v>
      </c>
      <c r="D77" s="115" t="s">
        <v>252</v>
      </c>
      <c r="E77" s="115" t="s">
        <v>253</v>
      </c>
      <c r="F77" s="115" t="s">
        <v>367</v>
      </c>
      <c r="G77" s="115" t="s">
        <v>196</v>
      </c>
      <c r="H77" s="115" t="s">
        <v>263</v>
      </c>
      <c r="I77" s="115" t="s">
        <v>263</v>
      </c>
    </row>
    <row r="78" spans="2:9" ht="15.75">
      <c r="B78" s="94" t="s">
        <v>251</v>
      </c>
      <c r="D78" s="84"/>
      <c r="E78" s="180">
        <v>50</v>
      </c>
      <c r="F78" s="87">
        <v>26.1</v>
      </c>
      <c r="G78" s="92">
        <f>G24</f>
        <v>345</v>
      </c>
      <c r="H78" s="84">
        <v>5</v>
      </c>
      <c r="I78" s="84">
        <v>10</v>
      </c>
    </row>
    <row r="79" spans="2:9" ht="15.75">
      <c r="B79" s="94" t="s">
        <v>192</v>
      </c>
      <c r="D79" s="84"/>
      <c r="E79" s="86">
        <v>445</v>
      </c>
      <c r="F79" s="87">
        <v>11</v>
      </c>
      <c r="G79" s="92">
        <f>G24</f>
        <v>345</v>
      </c>
      <c r="H79" s="84">
        <v>2</v>
      </c>
      <c r="I79" s="84">
        <v>0</v>
      </c>
    </row>
    <row r="80" spans="2:9" ht="15.75">
      <c r="B80" s="94" t="s">
        <v>296</v>
      </c>
      <c r="D80" s="88">
        <v>0.4</v>
      </c>
      <c r="E80" s="144">
        <v>950</v>
      </c>
      <c r="F80" s="89">
        <v>0.27</v>
      </c>
      <c r="G80" s="92">
        <f>G24</f>
        <v>345</v>
      </c>
      <c r="H80" s="84">
        <v>2</v>
      </c>
      <c r="I80" s="84">
        <v>0</v>
      </c>
    </row>
    <row r="81" spans="5:6" ht="15.75">
      <c r="E81" s="117">
        <f>((F78/F81)*E78)+((F79/F81)*E79)+((F80/F81)*E80)</f>
        <v>172.77227722772278</v>
      </c>
      <c r="F81" s="118">
        <f>SUM(F78:F80)</f>
        <v>37.370000000000005</v>
      </c>
    </row>
    <row r="83" spans="2:8" ht="15.75">
      <c r="B83" s="92" t="s">
        <v>411</v>
      </c>
      <c r="C83" s="119"/>
      <c r="D83" s="119"/>
      <c r="E83" s="119"/>
      <c r="F83" s="119"/>
      <c r="G83" s="119"/>
      <c r="H83" s="119"/>
    </row>
    <row r="84" ht="15">
      <c r="B84" s="147" t="str">
        <f>"Average body weight of "&amp;Input!G28&amp;" lbs  with a dry period length of "&amp;Input!G25&amp;" days. "</f>
        <v>Average body weight of 1485 lbs  with a dry period length of 85 days. </v>
      </c>
    </row>
    <row r="85" ht="15">
      <c r="B85" s="147"/>
    </row>
    <row r="86" ht="15">
      <c r="B86" s="114" t="s">
        <v>301</v>
      </c>
    </row>
    <row r="87" spans="2:8" ht="15.75">
      <c r="B87" s="114"/>
      <c r="F87" s="113" t="s">
        <v>17</v>
      </c>
      <c r="H87" s="113" t="s">
        <v>267</v>
      </c>
    </row>
    <row r="88" spans="4:8" ht="15.75">
      <c r="D88" s="92"/>
      <c r="E88" s="92"/>
      <c r="F88" s="113" t="s">
        <v>365</v>
      </c>
      <c r="G88" s="113" t="s">
        <v>195</v>
      </c>
      <c r="H88" s="113" t="s">
        <v>266</v>
      </c>
    </row>
    <row r="89" spans="4:8" ht="15.75">
      <c r="D89" s="115" t="s">
        <v>252</v>
      </c>
      <c r="E89" s="115" t="s">
        <v>253</v>
      </c>
      <c r="F89" s="115" t="s">
        <v>367</v>
      </c>
      <c r="G89" s="115" t="s">
        <v>196</v>
      </c>
      <c r="H89" s="115" t="s">
        <v>263</v>
      </c>
    </row>
    <row r="90" spans="2:8" ht="15.75">
      <c r="B90" s="94" t="s">
        <v>265</v>
      </c>
      <c r="E90" s="180">
        <v>120</v>
      </c>
      <c r="F90" s="87">
        <v>13</v>
      </c>
      <c r="G90" s="92">
        <f>G25-G97</f>
        <v>70</v>
      </c>
      <c r="H90" s="83">
        <v>20</v>
      </c>
    </row>
    <row r="91" spans="2:8" ht="15.75">
      <c r="B91" s="94" t="s">
        <v>268</v>
      </c>
      <c r="E91" s="86">
        <v>500</v>
      </c>
      <c r="F91" s="87">
        <v>2</v>
      </c>
      <c r="G91" s="92">
        <f>G25-G97</f>
        <v>70</v>
      </c>
      <c r="H91" s="83">
        <v>0</v>
      </c>
    </row>
    <row r="93" ht="15">
      <c r="B93" s="114" t="s">
        <v>270</v>
      </c>
    </row>
    <row r="94" spans="2:8" ht="15.75">
      <c r="B94" s="114"/>
      <c r="F94" s="113" t="s">
        <v>17</v>
      </c>
      <c r="H94" s="120" t="s">
        <v>267</v>
      </c>
    </row>
    <row r="95" spans="4:8" ht="15.75">
      <c r="D95" s="92"/>
      <c r="E95" s="92"/>
      <c r="F95" s="113" t="s">
        <v>365</v>
      </c>
      <c r="G95" s="113" t="s">
        <v>195</v>
      </c>
      <c r="H95" s="120" t="s">
        <v>266</v>
      </c>
    </row>
    <row r="96" spans="4:8" ht="15.75">
      <c r="D96" s="121" t="s">
        <v>252</v>
      </c>
      <c r="E96" s="121" t="s">
        <v>253</v>
      </c>
      <c r="F96" s="115" t="s">
        <v>367</v>
      </c>
      <c r="G96" s="115" t="s">
        <v>196</v>
      </c>
      <c r="H96" s="121" t="s">
        <v>263</v>
      </c>
    </row>
    <row r="97" spans="2:8" ht="15.75">
      <c r="B97" s="94" t="s">
        <v>265</v>
      </c>
      <c r="E97" s="86">
        <v>120</v>
      </c>
      <c r="F97" s="87">
        <v>4</v>
      </c>
      <c r="G97" s="84">
        <v>15</v>
      </c>
      <c r="H97" s="84">
        <v>20</v>
      </c>
    </row>
    <row r="98" spans="2:8" ht="15.75">
      <c r="B98" s="94" t="s">
        <v>268</v>
      </c>
      <c r="E98" s="144">
        <v>500</v>
      </c>
      <c r="F98" s="87">
        <v>4.2</v>
      </c>
      <c r="G98" s="84">
        <v>15</v>
      </c>
      <c r="H98" s="83">
        <v>0</v>
      </c>
    </row>
    <row r="99" spans="2:8" ht="15.75">
      <c r="B99" s="94" t="s">
        <v>269</v>
      </c>
      <c r="E99" s="117">
        <f>E81</f>
        <v>172.77227722772278</v>
      </c>
      <c r="F99" s="87">
        <v>7</v>
      </c>
      <c r="G99" s="84">
        <v>15</v>
      </c>
      <c r="H99" s="84">
        <v>10</v>
      </c>
    </row>
    <row r="100" spans="5:8" ht="15.75">
      <c r="E100" s="117"/>
      <c r="F100" s="116"/>
      <c r="G100" s="100"/>
      <c r="H100" s="100"/>
    </row>
    <row r="101" spans="2:9" ht="15.75">
      <c r="B101" s="247" t="s">
        <v>319</v>
      </c>
      <c r="C101" s="248"/>
      <c r="D101" s="248"/>
      <c r="E101" s="248"/>
      <c r="F101" s="248"/>
      <c r="G101" s="248"/>
      <c r="H101" s="248"/>
      <c r="I101" s="248"/>
    </row>
    <row r="102" spans="5:7" ht="15.75">
      <c r="E102" s="94" t="s">
        <v>1</v>
      </c>
      <c r="F102" s="115" t="s">
        <v>61</v>
      </c>
      <c r="G102" s="124" t="s">
        <v>62</v>
      </c>
    </row>
    <row r="103" spans="2:8" ht="15.75">
      <c r="B103" s="94" t="s">
        <v>340</v>
      </c>
      <c r="F103" s="92">
        <f>(G14*G35)/2</f>
        <v>46.529999999999994</v>
      </c>
      <c r="G103" s="93">
        <f>F103</f>
        <v>46.529999999999994</v>
      </c>
      <c r="H103" s="94" t="s">
        <v>1</v>
      </c>
    </row>
    <row r="104" spans="2:7" ht="15.75">
      <c r="B104" s="94" t="s">
        <v>363</v>
      </c>
      <c r="F104" s="78">
        <v>1</v>
      </c>
      <c r="G104" s="78">
        <v>0</v>
      </c>
    </row>
    <row r="105" spans="2:8" ht="15.75">
      <c r="B105" s="94" t="s">
        <v>63</v>
      </c>
      <c r="F105" s="78">
        <v>0.04</v>
      </c>
      <c r="G105" s="78">
        <v>0.04</v>
      </c>
      <c r="H105" s="94" t="s">
        <v>1</v>
      </c>
    </row>
    <row r="106" spans="2:8" ht="15.75">
      <c r="B106" s="94" t="s">
        <v>206</v>
      </c>
      <c r="F106" s="92">
        <f>ROUND(F103-((F103*F104)*F105),0)</f>
        <v>45</v>
      </c>
      <c r="G106" s="92">
        <f>ROUND(G103-((G103*G104)*G105),0)</f>
        <v>47</v>
      </c>
      <c r="H106" s="94" t="s">
        <v>1</v>
      </c>
    </row>
    <row r="107" spans="2:8" ht="15.75">
      <c r="B107" s="94" t="s">
        <v>320</v>
      </c>
      <c r="F107" s="125">
        <f>Input!G40</f>
        <v>300</v>
      </c>
      <c r="G107" s="125">
        <f>G41</f>
        <v>50</v>
      </c>
      <c r="H107" s="94" t="s">
        <v>1</v>
      </c>
    </row>
    <row r="108" spans="2:7" ht="15.75">
      <c r="B108" s="94" t="s">
        <v>404</v>
      </c>
      <c r="F108" s="151">
        <v>46</v>
      </c>
      <c r="G108" s="125"/>
    </row>
    <row r="109" spans="2:8" ht="15.75">
      <c r="B109" s="94" t="s">
        <v>395</v>
      </c>
      <c r="G109" s="126">
        <f>Input!G33</f>
        <v>0.3</v>
      </c>
      <c r="H109" s="94" t="s">
        <v>1</v>
      </c>
    </row>
    <row r="110" spans="2:8" ht="15.75">
      <c r="B110" s="94" t="s">
        <v>64</v>
      </c>
      <c r="G110" s="126">
        <f>Input!G34</f>
        <v>0.04</v>
      </c>
      <c r="H110" s="94" t="s">
        <v>1</v>
      </c>
    </row>
    <row r="111" spans="2:7" ht="15.75">
      <c r="B111" s="94" t="s">
        <v>341</v>
      </c>
      <c r="G111" s="92">
        <f>ROUND((Input!G14*G109)-(Input!G14*Input!G110),0)</f>
        <v>26</v>
      </c>
    </row>
    <row r="112" spans="2:7" ht="15.75" customHeight="1">
      <c r="B112" s="94" t="s">
        <v>368</v>
      </c>
      <c r="G112" s="127">
        <f>Input!G39</f>
        <v>1400</v>
      </c>
    </row>
    <row r="114" spans="2:9" ht="15.75">
      <c r="B114" s="247" t="s">
        <v>356</v>
      </c>
      <c r="C114" s="248"/>
      <c r="D114" s="248"/>
      <c r="E114" s="248"/>
      <c r="F114" s="248"/>
      <c r="G114" s="248"/>
      <c r="H114" s="248"/>
      <c r="I114" s="248"/>
    </row>
    <row r="115" spans="2:9" ht="15.75">
      <c r="B115" s="122"/>
      <c r="C115" s="123"/>
      <c r="D115" s="123"/>
      <c r="E115" s="123"/>
      <c r="F115" s="123"/>
      <c r="G115" s="123"/>
      <c r="H115" s="123"/>
      <c r="I115" s="123"/>
    </row>
    <row r="116" spans="2:8" ht="15" customHeight="1">
      <c r="B116" s="250" t="s">
        <v>369</v>
      </c>
      <c r="C116" s="251"/>
      <c r="D116" s="251"/>
      <c r="E116" s="251"/>
      <c r="F116" s="251"/>
      <c r="G116" s="251"/>
      <c r="H116" s="251"/>
    </row>
    <row r="117" spans="2:8" ht="15">
      <c r="B117" s="251"/>
      <c r="C117" s="251"/>
      <c r="D117" s="251"/>
      <c r="E117" s="251"/>
      <c r="F117" s="251"/>
      <c r="G117" s="251"/>
      <c r="H117" s="251"/>
    </row>
    <row r="118" spans="2:8" ht="15.75">
      <c r="B118" s="94" t="s">
        <v>275</v>
      </c>
      <c r="E118" s="94" t="s">
        <v>1</v>
      </c>
      <c r="F118" s="94" t="s">
        <v>1</v>
      </c>
      <c r="G118" s="39">
        <v>8500</v>
      </c>
      <c r="H118" s="129"/>
    </row>
    <row r="119" spans="2:8" ht="15">
      <c r="B119" s="94" t="s">
        <v>357</v>
      </c>
      <c r="E119" s="94" t="s">
        <v>1</v>
      </c>
      <c r="F119" s="94" t="s">
        <v>1</v>
      </c>
      <c r="G119" s="94" t="s">
        <v>1</v>
      </c>
      <c r="H119" s="94" t="s">
        <v>1</v>
      </c>
    </row>
    <row r="120" spans="2:8" ht="15.75">
      <c r="B120" s="94" t="s">
        <v>358</v>
      </c>
      <c r="G120" s="41">
        <v>2</v>
      </c>
      <c r="H120" s="94" t="s">
        <v>1</v>
      </c>
    </row>
    <row r="121" spans="2:7" ht="15.75">
      <c r="B121" s="94" t="s">
        <v>359</v>
      </c>
      <c r="G121" s="40">
        <v>12</v>
      </c>
    </row>
    <row r="122" spans="2:8" ht="15.75">
      <c r="B122" s="94" t="s">
        <v>360</v>
      </c>
      <c r="E122" s="94" t="s">
        <v>1</v>
      </c>
      <c r="F122" s="94" t="s">
        <v>1</v>
      </c>
      <c r="G122" s="39">
        <v>141</v>
      </c>
      <c r="H122" s="94" t="s">
        <v>1</v>
      </c>
    </row>
    <row r="123" spans="2:7" ht="15.75">
      <c r="B123" s="94" t="s">
        <v>362</v>
      </c>
      <c r="G123" s="39">
        <v>0.85</v>
      </c>
    </row>
    <row r="124" spans="2:8" ht="15.75">
      <c r="B124" s="94" t="s">
        <v>427</v>
      </c>
      <c r="G124" s="39">
        <v>5000</v>
      </c>
      <c r="H124" s="129"/>
    </row>
    <row r="125" spans="2:7" ht="15.75">
      <c r="B125" s="94" t="s">
        <v>359</v>
      </c>
      <c r="G125" s="84">
        <v>6</v>
      </c>
    </row>
    <row r="126" spans="2:7" ht="15.75">
      <c r="B126" s="94" t="s">
        <v>362</v>
      </c>
      <c r="G126" s="88">
        <v>0.85</v>
      </c>
    </row>
    <row r="127" spans="2:7" ht="15.75">
      <c r="B127" s="94" t="s">
        <v>361</v>
      </c>
      <c r="G127" s="40">
        <v>30</v>
      </c>
    </row>
    <row r="192" ht="15">
      <c r="A192" s="94" t="s">
        <v>1</v>
      </c>
    </row>
    <row r="206" ht="15">
      <c r="I206" s="94" t="s">
        <v>0</v>
      </c>
    </row>
    <row r="207" ht="15">
      <c r="I207" s="94" t="s">
        <v>0</v>
      </c>
    </row>
    <row r="208" ht="15">
      <c r="I208" s="94" t="s">
        <v>0</v>
      </c>
    </row>
    <row r="209" ht="15">
      <c r="I209" s="94" t="s">
        <v>0</v>
      </c>
    </row>
    <row r="210" ht="15">
      <c r="I210" s="94" t="s">
        <v>0</v>
      </c>
    </row>
    <row r="212" ht="15">
      <c r="I212" s="94" t="s">
        <v>0</v>
      </c>
    </row>
    <row r="213" ht="15">
      <c r="I213" s="94" t="s">
        <v>0</v>
      </c>
    </row>
  </sheetData>
  <sheetProtection password="C6A6" sheet="1"/>
  <mergeCells count="13">
    <mergeCell ref="B116:H117"/>
    <mergeCell ref="B101:I101"/>
    <mergeCell ref="B72:I73"/>
    <mergeCell ref="B66:I66"/>
    <mergeCell ref="E56:F56"/>
    <mergeCell ref="G56:H56"/>
    <mergeCell ref="B44:I44"/>
    <mergeCell ref="B49:I53"/>
    <mergeCell ref="B55:H55"/>
    <mergeCell ref="B1:I1"/>
    <mergeCell ref="B3:I3"/>
    <mergeCell ref="B114:I114"/>
    <mergeCell ref="B46:I47"/>
  </mergeCells>
  <printOptions horizontalCentered="1"/>
  <pageMargins left="0.7480314960629921" right="0.7480314960629921" top="0.984251968503937" bottom="0.984251968503937" header="0.5118110236220472" footer="0.5118110236220472"/>
  <pageSetup firstPageNumber="3" useFirstPageNumber="1" horizontalDpi="600" verticalDpi="600" orientation="portrait" scale="89" r:id="rId3"/>
  <headerFooter alignWithMargins="0">
    <oddHeader>&amp;L&amp;11Guidelines: Dairy Production Costs &amp;R&amp;11&amp;P</oddHeader>
    <oddFooter>&amp;R&amp;10Manitoba Agriculture</oddFooter>
  </headerFooter>
  <rowBreaks count="3" manualBreakCount="3">
    <brk id="43" max="8" man="1"/>
    <brk id="82" max="8" man="1"/>
    <brk id="127" max="8" man="1"/>
  </rowBreaks>
  <legacyDrawing r:id="rId2"/>
</worksheet>
</file>

<file path=xl/worksheets/sheet4.xml><?xml version="1.0" encoding="utf-8"?>
<worksheet xmlns="http://schemas.openxmlformats.org/spreadsheetml/2006/main" xmlns:r="http://schemas.openxmlformats.org/officeDocument/2006/relationships">
  <sheetPr codeName="Sheet4"/>
  <dimension ref="A1:O92"/>
  <sheetViews>
    <sheetView workbookViewId="0" topLeftCell="A1">
      <selection activeCell="B1" sqref="B1:H1"/>
    </sheetView>
  </sheetViews>
  <sheetFormatPr defaultColWidth="8.88671875" defaultRowHeight="15"/>
  <cols>
    <col min="1" max="1" width="3.10546875" style="94" customWidth="1"/>
    <col min="2" max="4" width="8.88671875" style="94" customWidth="1"/>
    <col min="5" max="5" width="8.99609375" style="94" bestFit="1" customWidth="1"/>
    <col min="6" max="6" width="10.21484375" style="94" customWidth="1"/>
    <col min="7" max="7" width="13.10546875" style="94" bestFit="1" customWidth="1"/>
    <col min="8" max="16384" width="8.88671875" style="94" customWidth="1"/>
  </cols>
  <sheetData>
    <row r="1" spans="2:9" ht="24" customHeight="1">
      <c r="B1" s="258" t="s">
        <v>381</v>
      </c>
      <c r="C1" s="258"/>
      <c r="D1" s="258"/>
      <c r="E1" s="258"/>
      <c r="F1" s="258"/>
      <c r="G1" s="258"/>
      <c r="H1" s="258"/>
      <c r="I1" s="94" t="s">
        <v>0</v>
      </c>
    </row>
    <row r="2" ht="15.75">
      <c r="G2" s="100"/>
    </row>
    <row r="3" spans="2:9" ht="15.75">
      <c r="B3" s="259" t="s">
        <v>434</v>
      </c>
      <c r="C3" s="260"/>
      <c r="D3" s="260"/>
      <c r="E3" s="260"/>
      <c r="F3" s="260"/>
      <c r="G3" s="260"/>
      <c r="H3" s="260"/>
      <c r="I3" s="260"/>
    </row>
    <row r="4" spans="1:9" ht="18">
      <c r="A4" s="261"/>
      <c r="B4" s="261"/>
      <c r="C4" s="261"/>
      <c r="D4" s="261"/>
      <c r="E4" s="261"/>
      <c r="F4" s="261"/>
      <c r="G4" s="261"/>
      <c r="H4" s="261"/>
      <c r="I4" s="130"/>
    </row>
    <row r="5" spans="1:9" ht="18">
      <c r="A5" s="168"/>
      <c r="B5" s="181" t="s">
        <v>451</v>
      </c>
      <c r="C5" s="168"/>
      <c r="D5" s="168"/>
      <c r="E5" s="168"/>
      <c r="F5" s="168"/>
      <c r="G5" s="168"/>
      <c r="H5" s="168"/>
      <c r="I5" s="130"/>
    </row>
    <row r="6" spans="2:8" ht="15.75">
      <c r="B6" s="94" t="s">
        <v>307</v>
      </c>
      <c r="D6" s="94" t="s">
        <v>314</v>
      </c>
      <c r="E6" s="84">
        <v>2</v>
      </c>
      <c r="F6" s="100"/>
      <c r="H6" s="94" t="s">
        <v>1</v>
      </c>
    </row>
    <row r="7" spans="4:7" ht="15.75">
      <c r="D7" s="131" t="s">
        <v>315</v>
      </c>
      <c r="E7" s="86">
        <v>125</v>
      </c>
      <c r="F7" s="100"/>
      <c r="G7" s="127">
        <f>E6*E7</f>
        <v>250</v>
      </c>
    </row>
    <row r="8" spans="2:9" ht="15.75">
      <c r="B8" s="94" t="s">
        <v>308</v>
      </c>
      <c r="D8" s="94" t="s">
        <v>316</v>
      </c>
      <c r="E8" s="84">
        <v>5</v>
      </c>
      <c r="F8" s="100"/>
      <c r="H8" s="94" t="s">
        <v>1</v>
      </c>
      <c r="I8" s="94" t="s">
        <v>0</v>
      </c>
    </row>
    <row r="9" spans="4:7" ht="15.75">
      <c r="D9" s="131" t="s">
        <v>317</v>
      </c>
      <c r="E9" s="88">
        <v>57.5</v>
      </c>
      <c r="F9" s="100"/>
      <c r="G9" s="127">
        <f>E8*E9</f>
        <v>287.5</v>
      </c>
    </row>
    <row r="10" spans="2:6" ht="15.75">
      <c r="B10" s="94" t="s">
        <v>309</v>
      </c>
      <c r="D10" s="94" t="s">
        <v>316</v>
      </c>
      <c r="E10" s="84">
        <v>11</v>
      </c>
      <c r="F10" s="100"/>
    </row>
    <row r="11" spans="4:7" ht="15.75">
      <c r="D11" s="131" t="s">
        <v>317</v>
      </c>
      <c r="E11" s="88">
        <v>2.55</v>
      </c>
      <c r="F11" s="100"/>
      <c r="G11" s="127">
        <f>Input!G12*'Other Costs'!E10*'Other Costs'!E11</f>
        <v>2316.9299999999994</v>
      </c>
    </row>
    <row r="12" spans="2:5" ht="15.75">
      <c r="B12" s="94" t="s">
        <v>310</v>
      </c>
      <c r="D12" s="94" t="s">
        <v>316</v>
      </c>
      <c r="E12" s="84">
        <v>5</v>
      </c>
    </row>
    <row r="13" spans="4:5" ht="15.75">
      <c r="D13" s="131" t="s">
        <v>126</v>
      </c>
      <c r="E13" s="84">
        <v>1.5</v>
      </c>
    </row>
    <row r="14" spans="4:7" ht="15.75">
      <c r="D14" s="131" t="s">
        <v>317</v>
      </c>
      <c r="E14" s="86">
        <v>30.5</v>
      </c>
      <c r="G14" s="127">
        <f>E12*E13*E14</f>
        <v>228.75</v>
      </c>
    </row>
    <row r="15" spans="2:6" ht="15.75">
      <c r="B15" s="94" t="s">
        <v>311</v>
      </c>
      <c r="D15" s="94" t="s">
        <v>316</v>
      </c>
      <c r="E15" s="84">
        <v>10</v>
      </c>
      <c r="F15" s="100"/>
    </row>
    <row r="16" spans="4:7" ht="15.75">
      <c r="D16" s="94" t="s">
        <v>318</v>
      </c>
      <c r="E16" s="88">
        <v>0.32</v>
      </c>
      <c r="G16" s="127">
        <f>Input!G14*'Other Costs'!E15*'Other Costs'!E16</f>
        <v>316.8</v>
      </c>
    </row>
    <row r="17" spans="2:7" ht="15.75">
      <c r="B17" s="94" t="s">
        <v>312</v>
      </c>
      <c r="E17" s="88">
        <v>6.1</v>
      </c>
      <c r="G17" s="127">
        <f>ROUND((E17*46)/Input!G14,2)</f>
        <v>2.83</v>
      </c>
    </row>
    <row r="18" spans="2:9" ht="15.75">
      <c r="B18" s="94" t="s">
        <v>313</v>
      </c>
      <c r="E18" s="94" t="s">
        <v>1</v>
      </c>
      <c r="F18" s="94" t="s">
        <v>1</v>
      </c>
      <c r="G18" s="39">
        <v>120</v>
      </c>
      <c r="I18" s="94" t="s">
        <v>0</v>
      </c>
    </row>
    <row r="19" ht="15"/>
    <row r="20" spans="2:8" ht="15.75">
      <c r="B20" s="132" t="s">
        <v>382</v>
      </c>
      <c r="D20" s="94" t="s">
        <v>1</v>
      </c>
      <c r="E20" s="142"/>
      <c r="G20" s="104" t="s">
        <v>1</v>
      </c>
      <c r="H20" s="94" t="s">
        <v>1</v>
      </c>
    </row>
    <row r="21" spans="2:8" ht="15.75">
      <c r="B21" s="94" t="s">
        <v>37</v>
      </c>
      <c r="G21" s="41">
        <v>2</v>
      </c>
      <c r="H21" s="94" t="s">
        <v>1</v>
      </c>
    </row>
    <row r="22" spans="2:8" ht="15.75">
      <c r="B22" s="94" t="s">
        <v>38</v>
      </c>
      <c r="E22" s="94" t="s">
        <v>1</v>
      </c>
      <c r="F22" s="94" t="s">
        <v>1</v>
      </c>
      <c r="G22" s="39">
        <v>45</v>
      </c>
      <c r="H22" s="94" t="s">
        <v>1</v>
      </c>
    </row>
    <row r="23" ht="15"/>
    <row r="24" spans="2:9" ht="15.75">
      <c r="B24" s="132" t="s">
        <v>383</v>
      </c>
      <c r="E24" s="94" t="s">
        <v>1</v>
      </c>
      <c r="F24" s="94" t="s">
        <v>1</v>
      </c>
      <c r="G24" s="94" t="s">
        <v>1</v>
      </c>
      <c r="H24" s="94" t="s">
        <v>1</v>
      </c>
      <c r="I24" s="94" t="s">
        <v>0</v>
      </c>
    </row>
    <row r="25" spans="2:9" ht="15.75">
      <c r="B25" s="94" t="s">
        <v>39</v>
      </c>
      <c r="F25" s="94" t="s">
        <v>1</v>
      </c>
      <c r="G25" s="39">
        <v>36</v>
      </c>
      <c r="H25" s="94" t="s">
        <v>1</v>
      </c>
      <c r="I25" s="94" t="s">
        <v>0</v>
      </c>
    </row>
    <row r="26" spans="2:9" ht="15.75">
      <c r="B26" s="94" t="s">
        <v>40</v>
      </c>
      <c r="F26" s="94" t="s">
        <v>1</v>
      </c>
      <c r="G26" s="39">
        <v>0</v>
      </c>
      <c r="H26" s="94" t="s">
        <v>1</v>
      </c>
      <c r="I26" s="94" t="s">
        <v>0</v>
      </c>
    </row>
    <row r="27" spans="2:9" ht="15.75">
      <c r="B27" s="94" t="s">
        <v>41</v>
      </c>
      <c r="G27" s="41">
        <v>2.5</v>
      </c>
      <c r="H27" s="94" t="s">
        <v>1</v>
      </c>
      <c r="I27" s="94" t="s">
        <v>0</v>
      </c>
    </row>
    <row r="28" ht="15">
      <c r="I28" s="94" t="s">
        <v>0</v>
      </c>
    </row>
    <row r="29" spans="2:7" ht="15.75">
      <c r="B29" s="132" t="s">
        <v>384</v>
      </c>
      <c r="E29" s="94" t="s">
        <v>1</v>
      </c>
      <c r="F29" s="94" t="s">
        <v>1</v>
      </c>
      <c r="G29" s="133" t="s">
        <v>1</v>
      </c>
    </row>
    <row r="30" spans="2:7" ht="15">
      <c r="B30" s="94" t="s">
        <v>43</v>
      </c>
      <c r="G30" s="133" t="s">
        <v>1</v>
      </c>
    </row>
    <row r="31" spans="2:7" ht="15.75">
      <c r="B31" s="94" t="s">
        <v>44</v>
      </c>
      <c r="F31" s="94" t="s">
        <v>45</v>
      </c>
      <c r="G31" s="39">
        <v>19750</v>
      </c>
    </row>
    <row r="32" spans="2:7" ht="15">
      <c r="B32" s="94" t="s">
        <v>1</v>
      </c>
      <c r="C32" s="94" t="s">
        <v>1</v>
      </c>
      <c r="D32" s="94" t="s">
        <v>1</v>
      </c>
      <c r="E32" s="94" t="s">
        <v>1</v>
      </c>
      <c r="F32" s="94" t="s">
        <v>1</v>
      </c>
      <c r="G32" s="133" t="s">
        <v>1</v>
      </c>
    </row>
    <row r="33" spans="2:8" ht="15.75">
      <c r="B33" s="132" t="s">
        <v>385</v>
      </c>
      <c r="G33" s="94" t="s">
        <v>1</v>
      </c>
      <c r="H33" s="94" t="s">
        <v>1</v>
      </c>
    </row>
    <row r="34" spans="2:8" ht="15.75">
      <c r="B34" s="94" t="s">
        <v>46</v>
      </c>
      <c r="F34" s="94" t="s">
        <v>1</v>
      </c>
      <c r="G34" s="39">
        <v>2.78</v>
      </c>
      <c r="H34" s="94" t="s">
        <v>1</v>
      </c>
    </row>
    <row r="35" spans="2:8" ht="15.75">
      <c r="B35" s="131" t="s">
        <v>428</v>
      </c>
      <c r="G35" s="145">
        <v>1.28</v>
      </c>
      <c r="H35" s="94" t="s">
        <v>1</v>
      </c>
    </row>
    <row r="36" spans="2:8" ht="15.75">
      <c r="B36" s="94" t="s">
        <v>47</v>
      </c>
      <c r="G36" s="145">
        <v>1.54</v>
      </c>
      <c r="H36" s="94" t="s">
        <v>1</v>
      </c>
    </row>
    <row r="37" spans="2:8" ht="15.75">
      <c r="B37" s="94" t="s">
        <v>48</v>
      </c>
      <c r="E37" s="94" t="s">
        <v>1</v>
      </c>
      <c r="F37" s="94" t="s">
        <v>1</v>
      </c>
      <c r="G37" s="169">
        <v>0.03</v>
      </c>
      <c r="H37" s="94" t="s">
        <v>1</v>
      </c>
    </row>
    <row r="38" spans="2:7" ht="15.75">
      <c r="B38" s="94" t="s">
        <v>209</v>
      </c>
      <c r="G38" s="39">
        <v>0</v>
      </c>
    </row>
    <row r="39" spans="2:7" ht="15.75">
      <c r="B39" s="94" t="s">
        <v>210</v>
      </c>
      <c r="F39" s="39">
        <v>0</v>
      </c>
      <c r="G39" s="117">
        <f>(F39*365/2)/((Input!G19*Input!G14)/100)</f>
        <v>0</v>
      </c>
    </row>
    <row r="40" ht="15"/>
    <row r="41" spans="2:9" ht="15.75">
      <c r="B41" s="132" t="s">
        <v>386</v>
      </c>
      <c r="I41" s="94" t="s">
        <v>0</v>
      </c>
    </row>
    <row r="42" spans="2:15" s="214" customFormat="1" ht="15.75" customHeight="1">
      <c r="B42" s="218"/>
      <c r="C42" s="214" t="s">
        <v>459</v>
      </c>
      <c r="G42" s="219">
        <v>0.85</v>
      </c>
      <c r="H42" s="220" t="s">
        <v>460</v>
      </c>
      <c r="M42" s="221"/>
      <c r="N42" s="221"/>
      <c r="O42" s="221"/>
    </row>
    <row r="43" spans="2:15" s="214" customFormat="1" ht="15.75" customHeight="1">
      <c r="B43" s="214" t="s">
        <v>463</v>
      </c>
      <c r="G43" s="222"/>
      <c r="M43" s="221"/>
      <c r="N43" s="221"/>
      <c r="O43" s="221"/>
    </row>
    <row r="44" spans="2:15" s="214" customFormat="1" ht="15.75" customHeight="1">
      <c r="B44" s="218"/>
      <c r="C44" s="214" t="s">
        <v>461</v>
      </c>
      <c r="G44" s="215">
        <v>120</v>
      </c>
      <c r="M44" s="221"/>
      <c r="N44" s="221"/>
      <c r="O44" s="221"/>
    </row>
    <row r="45" spans="2:15" s="214" customFormat="1" ht="15.75" customHeight="1">
      <c r="B45" s="218"/>
      <c r="C45" s="223" t="s">
        <v>462</v>
      </c>
      <c r="E45" s="224"/>
      <c r="F45" s="224"/>
      <c r="G45" s="233">
        <v>2.25</v>
      </c>
      <c r="H45" s="220" t="s">
        <v>126</v>
      </c>
      <c r="M45" s="221"/>
      <c r="N45" s="221"/>
      <c r="O45" s="221"/>
    </row>
    <row r="46" spans="2:9" ht="15.75">
      <c r="B46" s="94" t="s">
        <v>50</v>
      </c>
      <c r="G46" s="128"/>
      <c r="H46" s="133"/>
      <c r="I46" s="94" t="s">
        <v>0</v>
      </c>
    </row>
    <row r="47" spans="3:9" ht="15.75">
      <c r="C47" s="94" t="s">
        <v>302</v>
      </c>
      <c r="F47" s="182">
        <v>0.01</v>
      </c>
      <c r="G47" s="134">
        <f>F47*'Capital Costs'!G17</f>
        <v>18930</v>
      </c>
      <c r="I47" s="94" t="s">
        <v>0</v>
      </c>
    </row>
    <row r="48" spans="3:7" ht="15.75">
      <c r="C48" s="94" t="s">
        <v>303</v>
      </c>
      <c r="F48" s="182">
        <v>0.02</v>
      </c>
      <c r="G48" s="134">
        <f>F48*('Capital Costs'!G22+'Capital Costs'!G28)</f>
        <v>4360</v>
      </c>
    </row>
    <row r="49" spans="6:7" ht="15.75">
      <c r="F49" s="182"/>
      <c r="G49" s="134"/>
    </row>
    <row r="50" spans="2:9" ht="15.75">
      <c r="B50" s="132" t="s">
        <v>387</v>
      </c>
      <c r="F50" s="94" t="s">
        <v>1</v>
      </c>
      <c r="G50" s="94" t="s">
        <v>1</v>
      </c>
      <c r="H50" s="94" t="s">
        <v>1</v>
      </c>
      <c r="I50" s="94" t="s">
        <v>0</v>
      </c>
    </row>
    <row r="51" spans="2:8" s="214" customFormat="1" ht="15.75" customHeight="1">
      <c r="B51" s="156" t="s">
        <v>52</v>
      </c>
      <c r="D51" s="217">
        <v>2030</v>
      </c>
      <c r="E51" s="214" t="s">
        <v>458</v>
      </c>
      <c r="G51" s="216">
        <v>0.0793</v>
      </c>
      <c r="H51" s="214" t="s">
        <v>457</v>
      </c>
    </row>
    <row r="52" spans="2:9" ht="15.75">
      <c r="B52" s="94" t="s">
        <v>53</v>
      </c>
      <c r="G52" s="39">
        <v>1200</v>
      </c>
      <c r="I52" s="94" t="s">
        <v>0</v>
      </c>
    </row>
    <row r="53" spans="2:9" ht="15.75">
      <c r="B53" s="132" t="s">
        <v>388</v>
      </c>
      <c r="I53" s="94" t="s">
        <v>0</v>
      </c>
    </row>
    <row r="54" spans="2:9" ht="15">
      <c r="B54" s="94" t="s">
        <v>55</v>
      </c>
      <c r="G54" s="133" t="s">
        <v>1</v>
      </c>
      <c r="I54" s="94" t="s">
        <v>0</v>
      </c>
    </row>
    <row r="55" spans="2:9" ht="15.75">
      <c r="B55" s="94" t="s">
        <v>56</v>
      </c>
      <c r="E55" s="94" t="s">
        <v>1</v>
      </c>
      <c r="F55" s="94" t="s">
        <v>1</v>
      </c>
      <c r="G55" s="39">
        <v>0.7</v>
      </c>
      <c r="I55" s="94" t="s">
        <v>0</v>
      </c>
    </row>
    <row r="56" spans="2:9" ht="15.75">
      <c r="B56" s="94" t="s">
        <v>57</v>
      </c>
      <c r="F56" s="94" t="s">
        <v>1</v>
      </c>
      <c r="G56" s="39">
        <v>0.7</v>
      </c>
      <c r="I56" s="94" t="s">
        <v>0</v>
      </c>
    </row>
    <row r="57" spans="2:7" ht="15.75">
      <c r="B57" s="156" t="s">
        <v>294</v>
      </c>
      <c r="C57" s="156"/>
      <c r="D57" s="156"/>
      <c r="E57" s="156"/>
      <c r="F57" s="156"/>
      <c r="G57" s="157">
        <v>0.45</v>
      </c>
    </row>
    <row r="58" spans="2:9" ht="15.75">
      <c r="B58" s="156"/>
      <c r="C58" s="156" t="s">
        <v>295</v>
      </c>
      <c r="D58" s="156"/>
      <c r="E58" s="156"/>
      <c r="F58" s="156"/>
      <c r="G58" s="158">
        <v>0.79</v>
      </c>
      <c r="I58" s="94" t="s">
        <v>0</v>
      </c>
    </row>
    <row r="59" spans="2:7" ht="15.75">
      <c r="B59" s="156"/>
      <c r="C59" s="156" t="s">
        <v>410</v>
      </c>
      <c r="D59" s="156"/>
      <c r="E59" s="156"/>
      <c r="F59" s="156"/>
      <c r="G59" s="158">
        <v>40</v>
      </c>
    </row>
    <row r="60" spans="2:9" ht="15.75">
      <c r="B60" s="94" t="s">
        <v>58</v>
      </c>
      <c r="G60" s="39">
        <v>50</v>
      </c>
      <c r="I60" s="94" t="s">
        <v>0</v>
      </c>
    </row>
    <row r="61" ht="15"/>
    <row r="62" spans="2:9" ht="15.75">
      <c r="B62" s="132" t="s">
        <v>389</v>
      </c>
      <c r="E62" s="94" t="s">
        <v>1</v>
      </c>
      <c r="F62" s="94" t="s">
        <v>1</v>
      </c>
      <c r="G62" s="94" t="s">
        <v>1</v>
      </c>
      <c r="H62" s="94" t="s">
        <v>1</v>
      </c>
      <c r="I62" s="94" t="s">
        <v>0</v>
      </c>
    </row>
    <row r="63" spans="2:9" ht="15.75">
      <c r="B63" s="94" t="s">
        <v>414</v>
      </c>
      <c r="F63" s="94" t="s">
        <v>1</v>
      </c>
      <c r="G63" s="159">
        <v>22</v>
      </c>
      <c r="H63" s="94" t="s">
        <v>1</v>
      </c>
      <c r="I63" s="94" t="s">
        <v>0</v>
      </c>
    </row>
    <row r="64" spans="2:7" ht="15.75">
      <c r="B64" s="94" t="s">
        <v>415</v>
      </c>
      <c r="G64" s="213">
        <v>0.02</v>
      </c>
    </row>
    <row r="65" spans="2:7" ht="15.75">
      <c r="B65" s="94" t="s">
        <v>60</v>
      </c>
      <c r="G65" s="127">
        <f>(G63*365*Input!G14)*G64</f>
        <v>15899.4</v>
      </c>
    </row>
    <row r="66" ht="15.75">
      <c r="G66" s="128"/>
    </row>
    <row r="67" spans="2:9" ht="15.75">
      <c r="B67" s="132" t="s">
        <v>390</v>
      </c>
      <c r="F67" s="94" t="s">
        <v>1</v>
      </c>
      <c r="G67" s="133" t="s">
        <v>1</v>
      </c>
      <c r="H67" s="94" t="s">
        <v>1</v>
      </c>
      <c r="I67" s="94" t="s">
        <v>0</v>
      </c>
    </row>
    <row r="68" spans="2:9" ht="15">
      <c r="B68" s="94" t="s">
        <v>66</v>
      </c>
      <c r="G68" s="133" t="s">
        <v>1</v>
      </c>
      <c r="H68" s="94" t="s">
        <v>1</v>
      </c>
      <c r="I68" s="94" t="s">
        <v>0</v>
      </c>
    </row>
    <row r="69" spans="2:9" ht="15.75">
      <c r="B69" s="94" t="s">
        <v>67</v>
      </c>
      <c r="G69" s="39">
        <v>5000</v>
      </c>
      <c r="H69" s="94" t="s">
        <v>1</v>
      </c>
      <c r="I69" s="94" t="s">
        <v>0</v>
      </c>
    </row>
    <row r="70" spans="2:9" ht="15">
      <c r="B70" s="94" t="s">
        <v>1</v>
      </c>
      <c r="C70" s="94" t="s">
        <v>1</v>
      </c>
      <c r="D70" s="94" t="s">
        <v>1</v>
      </c>
      <c r="E70" s="94" t="s">
        <v>1</v>
      </c>
      <c r="F70" s="94" t="s">
        <v>1</v>
      </c>
      <c r="G70" s="133" t="s">
        <v>1</v>
      </c>
      <c r="H70" s="94" t="s">
        <v>1</v>
      </c>
      <c r="I70" s="94" t="s">
        <v>0</v>
      </c>
    </row>
    <row r="71" spans="2:9" ht="15.75">
      <c r="B71" s="132" t="s">
        <v>391</v>
      </c>
      <c r="I71" s="94" t="s">
        <v>0</v>
      </c>
    </row>
    <row r="72" ht="15">
      <c r="B72" s="94" t="s">
        <v>69</v>
      </c>
    </row>
    <row r="73" spans="3:7" ht="15.75">
      <c r="C73" s="94" t="s">
        <v>70</v>
      </c>
      <c r="G73" s="125">
        <v>1600000</v>
      </c>
    </row>
    <row r="74" spans="3:7" ht="15.75">
      <c r="C74" s="94" t="s">
        <v>71</v>
      </c>
      <c r="G74" s="78">
        <v>0.3</v>
      </c>
    </row>
    <row r="75" spans="3:7" ht="15.75">
      <c r="C75" s="94" t="s">
        <v>72</v>
      </c>
      <c r="G75" s="90">
        <v>0.031201</v>
      </c>
    </row>
    <row r="76" ht="15">
      <c r="B76" s="94" t="s">
        <v>73</v>
      </c>
    </row>
    <row r="77" spans="3:7" ht="15.75">
      <c r="C77" s="94" t="s">
        <v>70</v>
      </c>
      <c r="G77" s="52">
        <v>100000</v>
      </c>
    </row>
    <row r="78" spans="3:7" ht="15.75">
      <c r="C78" s="94" t="s">
        <v>71</v>
      </c>
      <c r="G78" s="78">
        <v>0.45</v>
      </c>
    </row>
    <row r="79" spans="3:7" ht="15.75">
      <c r="C79" s="94" t="s">
        <v>72</v>
      </c>
      <c r="G79" s="90">
        <v>0.039151</v>
      </c>
    </row>
    <row r="80" ht="15"/>
    <row r="81" ht="15.75">
      <c r="B81" s="132" t="s">
        <v>392</v>
      </c>
    </row>
    <row r="82" spans="3:7" ht="15.75">
      <c r="C82" s="94" t="s">
        <v>74</v>
      </c>
      <c r="G82" s="52">
        <v>2600</v>
      </c>
    </row>
    <row r="83" ht="15"/>
    <row r="84" spans="2:8" ht="15.75">
      <c r="B84" s="94" t="s">
        <v>246</v>
      </c>
      <c r="G84" s="188">
        <v>0.045</v>
      </c>
      <c r="H84" s="129"/>
    </row>
    <row r="85" spans="2:9" ht="15.75">
      <c r="B85" s="94" t="s">
        <v>247</v>
      </c>
      <c r="G85" s="188">
        <v>0.0225</v>
      </c>
      <c r="H85" s="129"/>
      <c r="I85" s="94" t="s">
        <v>0</v>
      </c>
    </row>
    <row r="86" ht="15">
      <c r="I86" s="94" t="s">
        <v>0</v>
      </c>
    </row>
    <row r="87" spans="2:9" ht="15.75">
      <c r="B87" s="132" t="s">
        <v>393</v>
      </c>
      <c r="I87" s="94" t="s">
        <v>0</v>
      </c>
    </row>
    <row r="88" spans="2:9" ht="15.75">
      <c r="B88" s="94" t="s">
        <v>79</v>
      </c>
      <c r="E88" s="94" t="s">
        <v>1</v>
      </c>
      <c r="F88" s="94" t="s">
        <v>1</v>
      </c>
      <c r="G88" s="40">
        <v>50</v>
      </c>
      <c r="H88" s="94" t="s">
        <v>1</v>
      </c>
      <c r="I88" s="94" t="s">
        <v>0</v>
      </c>
    </row>
    <row r="89" spans="2:9" ht="15.75">
      <c r="B89" s="94" t="s">
        <v>421</v>
      </c>
      <c r="E89" s="94" t="s">
        <v>1</v>
      </c>
      <c r="F89" s="94" t="s">
        <v>1</v>
      </c>
      <c r="G89" s="39">
        <v>22</v>
      </c>
      <c r="I89" s="94" t="s">
        <v>0</v>
      </c>
    </row>
    <row r="90" spans="2:9" ht="15.75">
      <c r="B90" s="94" t="s">
        <v>422</v>
      </c>
      <c r="G90" s="152">
        <v>2450</v>
      </c>
      <c r="I90" s="94" t="s">
        <v>0</v>
      </c>
    </row>
    <row r="91" ht="15">
      <c r="I91" s="94" t="s">
        <v>0</v>
      </c>
    </row>
    <row r="92" spans="4:9" ht="18">
      <c r="D92" s="135"/>
      <c r="E92" s="135"/>
      <c r="I92" s="94" t="s">
        <v>0</v>
      </c>
    </row>
  </sheetData>
  <sheetProtection password="C6A6" sheet="1" objects="1" scenarios="1"/>
  <mergeCells count="3">
    <mergeCell ref="B1:H1"/>
    <mergeCell ref="B3:I3"/>
    <mergeCell ref="A4:H4"/>
  </mergeCells>
  <printOptions/>
  <pageMargins left="0.7480314960629921" right="0.7480314960629921" top="0.984251968503937" bottom="0.984251968503937" header="0.5118110236220472" footer="0.5118110236220472"/>
  <pageSetup firstPageNumber="6" useFirstPageNumber="1" fitToHeight="3" horizontalDpi="600" verticalDpi="600" orientation="portrait" scale="91" r:id="rId3"/>
  <headerFooter alignWithMargins="0">
    <oddHeader>&amp;L&amp;11Guidelines: Dairy Production Costs&amp;R&amp;11&amp;P</oddHeader>
    <oddFooter>&amp;R&amp;11Manitoba Agriculture</oddFooter>
  </headerFooter>
  <legacyDrawing r:id="rId2"/>
</worksheet>
</file>

<file path=xl/worksheets/sheet5.xml><?xml version="1.0" encoding="utf-8"?>
<worksheet xmlns="http://schemas.openxmlformats.org/spreadsheetml/2006/main" xmlns:r="http://schemas.openxmlformats.org/officeDocument/2006/relationships">
  <sheetPr codeName="Sheet5"/>
  <dimension ref="A1:I40"/>
  <sheetViews>
    <sheetView workbookViewId="0" topLeftCell="A1">
      <selection activeCell="A1" sqref="A1:I1"/>
    </sheetView>
  </sheetViews>
  <sheetFormatPr defaultColWidth="8.88671875" defaultRowHeight="15"/>
  <cols>
    <col min="1" max="1" width="1.33203125" style="94" customWidth="1"/>
    <col min="2" max="2" width="8.88671875" style="94" customWidth="1"/>
    <col min="3" max="3" width="10.10546875" style="94" bestFit="1" customWidth="1"/>
    <col min="4" max="4" width="8.99609375" style="94" bestFit="1" customWidth="1"/>
    <col min="5" max="5" width="5.6640625" style="94" customWidth="1"/>
    <col min="6" max="6" width="8.10546875" style="94" customWidth="1"/>
    <col min="7" max="7" width="13.21484375" style="94" customWidth="1"/>
    <col min="8" max="8" width="7.3359375" style="94" customWidth="1"/>
    <col min="9" max="9" width="6.88671875" style="94" customWidth="1"/>
    <col min="10" max="16384" width="8.88671875" style="94" customWidth="1"/>
  </cols>
  <sheetData>
    <row r="1" spans="1:9" ht="18" customHeight="1">
      <c r="A1" s="246" t="s">
        <v>273</v>
      </c>
      <c r="B1" s="246"/>
      <c r="C1" s="246"/>
      <c r="D1" s="246"/>
      <c r="E1" s="246"/>
      <c r="F1" s="246"/>
      <c r="G1" s="246"/>
      <c r="H1" s="246"/>
      <c r="I1" s="246"/>
    </row>
    <row r="2" spans="1:9" ht="15.75" customHeight="1">
      <c r="A2" s="262" t="s">
        <v>274</v>
      </c>
      <c r="B2" s="262"/>
      <c r="C2" s="262"/>
      <c r="D2" s="262"/>
      <c r="E2" s="262"/>
      <c r="F2" s="262"/>
      <c r="G2" s="262"/>
      <c r="H2" s="262"/>
      <c r="I2" s="262"/>
    </row>
    <row r="3" spans="1:9" ht="15.75" customHeight="1">
      <c r="A3" s="263" t="str">
        <f>"Buildings &amp; equipment assumed new for a "&amp;Input!G14&amp;" cow herd"</f>
        <v>Buildings &amp; equipment assumed new for a 99 cow herd</v>
      </c>
      <c r="B3" s="263"/>
      <c r="C3" s="263"/>
      <c r="D3" s="263"/>
      <c r="E3" s="263"/>
      <c r="F3" s="263"/>
      <c r="G3" s="263"/>
      <c r="H3" s="263"/>
      <c r="I3" s="263"/>
    </row>
    <row r="4" spans="1:9" ht="7.5" customHeight="1">
      <c r="A4" s="177"/>
      <c r="B4" s="177"/>
      <c r="C4" s="177"/>
      <c r="D4" s="177"/>
      <c r="E4" s="177"/>
      <c r="F4" s="177"/>
      <c r="G4" s="177"/>
      <c r="H4" s="177"/>
      <c r="I4" s="177"/>
    </row>
    <row r="5" spans="6:9" ht="15.75">
      <c r="F5" s="94" t="s">
        <v>1</v>
      </c>
      <c r="H5" s="120" t="s">
        <v>234</v>
      </c>
      <c r="I5" s="120" t="s">
        <v>238</v>
      </c>
    </row>
    <row r="6" spans="6:9" ht="15.75">
      <c r="F6" s="92" t="s">
        <v>1</v>
      </c>
      <c r="H6" s="120" t="s">
        <v>70</v>
      </c>
      <c r="I6" s="120" t="s">
        <v>235</v>
      </c>
    </row>
    <row r="7" spans="2:9" ht="15.75">
      <c r="B7" s="136" t="s">
        <v>396</v>
      </c>
      <c r="G7" s="137" t="s">
        <v>134</v>
      </c>
      <c r="H7" s="137" t="s">
        <v>75</v>
      </c>
      <c r="I7" s="137" t="s">
        <v>76</v>
      </c>
    </row>
    <row r="8" spans="2:9" ht="15.75">
      <c r="B8" s="131" t="s">
        <v>397</v>
      </c>
      <c r="G8" s="86">
        <v>100000</v>
      </c>
      <c r="H8" s="137"/>
      <c r="I8" s="137"/>
    </row>
    <row r="9" spans="2:9" ht="15.75" customHeight="1">
      <c r="B9" s="94" t="s">
        <v>239</v>
      </c>
      <c r="D9" s="94" t="s">
        <v>1</v>
      </c>
      <c r="E9" s="94" t="s">
        <v>1</v>
      </c>
      <c r="G9" s="52">
        <v>725000</v>
      </c>
      <c r="H9" s="54">
        <v>0.1</v>
      </c>
      <c r="I9" s="55">
        <v>20</v>
      </c>
    </row>
    <row r="10" spans="2:9" ht="15.75">
      <c r="B10" s="94" t="s">
        <v>271</v>
      </c>
      <c r="D10" s="94" t="s">
        <v>1</v>
      </c>
      <c r="E10" s="94" t="s">
        <v>1</v>
      </c>
      <c r="G10" s="52">
        <v>725000</v>
      </c>
      <c r="H10" s="54">
        <v>0.1</v>
      </c>
      <c r="I10" s="55">
        <v>20</v>
      </c>
    </row>
    <row r="11" spans="2:9" ht="15.75">
      <c r="B11" s="94" t="s">
        <v>250</v>
      </c>
      <c r="G11" s="52">
        <v>50000</v>
      </c>
      <c r="H11" s="54">
        <v>0.1</v>
      </c>
      <c r="I11" s="55">
        <v>20</v>
      </c>
    </row>
    <row r="12" spans="2:9" ht="15.75">
      <c r="B12" s="94" t="s">
        <v>240</v>
      </c>
      <c r="G12" s="52">
        <v>175000</v>
      </c>
      <c r="H12" s="54">
        <v>0</v>
      </c>
      <c r="I12" s="55">
        <v>25</v>
      </c>
    </row>
    <row r="13" spans="2:9" ht="15.75">
      <c r="B13" s="94" t="s">
        <v>183</v>
      </c>
      <c r="G13" s="52">
        <v>50000</v>
      </c>
      <c r="H13" s="54">
        <v>0.1</v>
      </c>
      <c r="I13" s="55">
        <v>15</v>
      </c>
    </row>
    <row r="14" spans="2:9" ht="15.75">
      <c r="B14" s="131" t="s">
        <v>432</v>
      </c>
      <c r="G14" s="52">
        <v>30000</v>
      </c>
      <c r="H14" s="54">
        <v>0</v>
      </c>
      <c r="I14" s="55">
        <v>20</v>
      </c>
    </row>
    <row r="15" spans="2:9" ht="15.75">
      <c r="B15" s="94" t="s">
        <v>175</v>
      </c>
      <c r="D15" s="94" t="s">
        <v>1</v>
      </c>
      <c r="E15" s="94" t="s">
        <v>1</v>
      </c>
      <c r="G15" s="52">
        <v>18000</v>
      </c>
      <c r="H15" s="54">
        <v>0.1</v>
      </c>
      <c r="I15" s="55">
        <v>20</v>
      </c>
    </row>
    <row r="16" spans="2:9" ht="15.75">
      <c r="B16" s="94" t="s">
        <v>241</v>
      </c>
      <c r="E16" s="94" t="s">
        <v>1</v>
      </c>
      <c r="G16" s="53">
        <v>20000</v>
      </c>
      <c r="H16" s="56">
        <v>0.1</v>
      </c>
      <c r="I16" s="57">
        <v>20</v>
      </c>
    </row>
    <row r="17" spans="2:9" ht="15.75">
      <c r="B17" s="92" t="s">
        <v>242</v>
      </c>
      <c r="C17" s="92"/>
      <c r="D17" s="92"/>
      <c r="E17" s="92"/>
      <c r="G17" s="125">
        <f>SUM(G8:G16)</f>
        <v>1893000</v>
      </c>
      <c r="H17" s="138"/>
      <c r="I17" s="139"/>
    </row>
    <row r="18" ht="15">
      <c r="G18" s="140"/>
    </row>
    <row r="19" spans="2:7" ht="15.75">
      <c r="B19" s="136" t="s">
        <v>77</v>
      </c>
      <c r="G19" s="94" t="s">
        <v>1</v>
      </c>
    </row>
    <row r="20" spans="2:9" ht="15.75">
      <c r="B20" s="131" t="s">
        <v>249</v>
      </c>
      <c r="G20" s="86">
        <v>42000</v>
      </c>
      <c r="H20" s="54">
        <v>0.1</v>
      </c>
      <c r="I20" s="55">
        <v>15</v>
      </c>
    </row>
    <row r="21" spans="2:9" ht="15.75">
      <c r="B21" s="131" t="s">
        <v>437</v>
      </c>
      <c r="G21" s="53">
        <v>10000</v>
      </c>
      <c r="H21" s="56">
        <v>0</v>
      </c>
      <c r="I21" s="57">
        <v>15</v>
      </c>
    </row>
    <row r="22" spans="2:9" ht="15.75">
      <c r="B22" s="92" t="s">
        <v>184</v>
      </c>
      <c r="C22" s="92"/>
      <c r="D22" s="92"/>
      <c r="E22" s="92"/>
      <c r="G22" s="125">
        <f>SUM(G20:G21)</f>
        <v>52000</v>
      </c>
      <c r="H22" s="54">
        <v>0.1</v>
      </c>
      <c r="I22" s="55">
        <v>15</v>
      </c>
    </row>
    <row r="24" spans="2:8" ht="15.75">
      <c r="B24" s="136" t="s">
        <v>228</v>
      </c>
      <c r="G24" s="94" t="s">
        <v>1</v>
      </c>
      <c r="H24" s="141" t="s">
        <v>1</v>
      </c>
    </row>
    <row r="25" spans="2:9" ht="15.75">
      <c r="B25" s="131" t="s">
        <v>439</v>
      </c>
      <c r="G25" s="52">
        <v>22000</v>
      </c>
      <c r="H25" s="54">
        <v>0.1</v>
      </c>
      <c r="I25" s="55">
        <v>10</v>
      </c>
    </row>
    <row r="26" spans="2:9" ht="15.75">
      <c r="B26" s="131" t="s">
        <v>436</v>
      </c>
      <c r="G26" s="52">
        <f>60000*0.8</f>
        <v>48000</v>
      </c>
      <c r="H26" s="54">
        <v>0.1</v>
      </c>
      <c r="I26" s="55">
        <v>10</v>
      </c>
    </row>
    <row r="27" spans="2:9" ht="15.75">
      <c r="B27" s="131" t="s">
        <v>438</v>
      </c>
      <c r="G27" s="53">
        <f>120000*0.8</f>
        <v>96000</v>
      </c>
      <c r="H27" s="54">
        <v>0.1</v>
      </c>
      <c r="I27" s="55">
        <v>10</v>
      </c>
    </row>
    <row r="28" spans="2:9" ht="15.75">
      <c r="B28" s="92" t="s">
        <v>134</v>
      </c>
      <c r="C28" s="92"/>
      <c r="D28" s="92"/>
      <c r="E28" s="92"/>
      <c r="G28" s="125">
        <f>SUM(G25:G27)</f>
        <v>166000</v>
      </c>
      <c r="H28" s="54">
        <v>0.1</v>
      </c>
      <c r="I28" s="55">
        <v>10</v>
      </c>
    </row>
    <row r="29" ht="15">
      <c r="I29" s="94" t="s">
        <v>0</v>
      </c>
    </row>
    <row r="30" spans="2:7" ht="15.75">
      <c r="B30" s="92" t="s">
        <v>236</v>
      </c>
      <c r="G30" s="125">
        <f>G17+G22+G28</f>
        <v>2111000</v>
      </c>
    </row>
    <row r="31" spans="3:7" ht="15.75">
      <c r="C31" s="92" t="s">
        <v>78</v>
      </c>
      <c r="G31" s="125">
        <f>G30/Input!G14</f>
        <v>21323.23232323232</v>
      </c>
    </row>
    <row r="33" spans="2:9" ht="15.75">
      <c r="B33" s="92" t="s">
        <v>245</v>
      </c>
      <c r="G33" s="125">
        <f>Input!G14*Input!G37</f>
        <v>247500</v>
      </c>
      <c r="I33" s="94" t="s">
        <v>0</v>
      </c>
    </row>
    <row r="34" spans="2:7" ht="15.75">
      <c r="B34" s="92"/>
      <c r="C34" s="92" t="s">
        <v>78</v>
      </c>
      <c r="G34" s="125">
        <f>G33/Input!G14</f>
        <v>2500</v>
      </c>
    </row>
    <row r="35" spans="7:9" ht="15">
      <c r="G35" s="102" t="s">
        <v>0</v>
      </c>
      <c r="I35" s="94" t="s">
        <v>0</v>
      </c>
    </row>
    <row r="36" spans="2:9" ht="15.75">
      <c r="B36" s="92" t="s">
        <v>237</v>
      </c>
      <c r="G36" s="125">
        <f>G17+G22+G28+G33</f>
        <v>2358500</v>
      </c>
      <c r="I36" s="94" t="s">
        <v>0</v>
      </c>
    </row>
    <row r="37" spans="3:9" ht="15.75">
      <c r="C37" s="92" t="s">
        <v>78</v>
      </c>
      <c r="G37" s="125">
        <f>G36/Input!G14</f>
        <v>23823.23232323232</v>
      </c>
      <c r="I37" s="94" t="s">
        <v>0</v>
      </c>
    </row>
    <row r="38" spans="3:7" ht="15.75">
      <c r="C38" s="92"/>
      <c r="G38" s="125"/>
    </row>
    <row r="39" spans="3:7" ht="15.75">
      <c r="C39" s="92"/>
      <c r="G39" s="125"/>
    </row>
    <row r="40" spans="3:7" ht="15.75">
      <c r="C40" s="92"/>
      <c r="G40" s="125"/>
    </row>
  </sheetData>
  <sheetProtection password="C6A6" sheet="1" objects="1" scenarios="1"/>
  <mergeCells count="3">
    <mergeCell ref="A1:I1"/>
    <mergeCell ref="A2:I2"/>
    <mergeCell ref="A3:I3"/>
  </mergeCells>
  <printOptions/>
  <pageMargins left="0.7480314960629921" right="0.7480314960629921" top="0.984251968503937" bottom="0.984251968503937" header="0.5118110236220472" footer="0.5118110236220472"/>
  <pageSetup firstPageNumber="8" useFirstPageNumber="1" horizontalDpi="600" verticalDpi="600" orientation="portrait" r:id="rId1"/>
  <headerFooter alignWithMargins="0">
    <oddHeader>&amp;L&amp;11Guidelines: Dairy Production Costs&amp;R&amp;11&amp;P</oddHeader>
    <oddFooter>&amp;R&amp;11Manitoba Agriculture</oddFoot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Q519"/>
  <sheetViews>
    <sheetView workbookViewId="0" topLeftCell="A1">
      <selection activeCell="B1" sqref="B1:J1"/>
    </sheetView>
  </sheetViews>
  <sheetFormatPr defaultColWidth="8.88671875" defaultRowHeight="15"/>
  <cols>
    <col min="1" max="1" width="2.3359375" style="0" customWidth="1"/>
    <col min="2" max="2" width="5.3359375" style="0" customWidth="1"/>
    <col min="3" max="3" width="14.6640625" style="0" customWidth="1"/>
    <col min="4" max="4" width="2.3359375" style="0" customWidth="1"/>
    <col min="5" max="5" width="12.21484375" style="0" customWidth="1"/>
    <col min="6" max="6" width="1.77734375" style="0" customWidth="1"/>
    <col min="8" max="8" width="10.21484375" style="0" customWidth="1"/>
    <col min="9" max="9" width="6.4453125" style="0" customWidth="1"/>
    <col min="10" max="10" width="12.10546875" style="0" customWidth="1"/>
  </cols>
  <sheetData>
    <row r="1" spans="1:11" ht="24" customHeight="1">
      <c r="A1" t="s">
        <v>0</v>
      </c>
      <c r="B1" s="266" t="s">
        <v>448</v>
      </c>
      <c r="C1" s="267"/>
      <c r="D1" s="267"/>
      <c r="E1" s="267"/>
      <c r="F1" s="267"/>
      <c r="G1" s="267"/>
      <c r="H1" s="267"/>
      <c r="I1" s="267"/>
      <c r="J1" s="267"/>
      <c r="K1" t="s">
        <v>0</v>
      </c>
    </row>
    <row r="2" spans="1:11" ht="15">
      <c r="A2" t="s">
        <v>0</v>
      </c>
      <c r="B2" t="s">
        <v>0</v>
      </c>
      <c r="K2" t="s">
        <v>0</v>
      </c>
    </row>
    <row r="3" spans="1:11" ht="15.75">
      <c r="A3" t="s">
        <v>0</v>
      </c>
      <c r="B3" s="15" t="s">
        <v>114</v>
      </c>
      <c r="K3" t="s">
        <v>0</v>
      </c>
    </row>
    <row r="4" spans="1:11" ht="15.75">
      <c r="A4" t="s">
        <v>0</v>
      </c>
      <c r="J4" s="49" t="s">
        <v>82</v>
      </c>
      <c r="K4" t="s">
        <v>0</v>
      </c>
    </row>
    <row r="5" spans="1:11" ht="15.75">
      <c r="A5" t="s">
        <v>0</v>
      </c>
      <c r="B5" s="15" t="s">
        <v>83</v>
      </c>
      <c r="K5" t="s">
        <v>0</v>
      </c>
    </row>
    <row r="6" spans="1:11" ht="15.75">
      <c r="A6" t="s">
        <v>0</v>
      </c>
      <c r="B6" s="15" t="s">
        <v>282</v>
      </c>
      <c r="K6" t="s">
        <v>0</v>
      </c>
    </row>
    <row r="7" spans="1:11" ht="15.75">
      <c r="A7" t="s">
        <v>0</v>
      </c>
      <c r="B7" s="15"/>
      <c r="C7" s="15" t="s">
        <v>254</v>
      </c>
      <c r="D7" s="34"/>
      <c r="K7" t="s">
        <v>0</v>
      </c>
    </row>
    <row r="8" spans="1:11" ht="15">
      <c r="A8" t="s">
        <v>0</v>
      </c>
      <c r="D8" s="34"/>
      <c r="E8" s="63">
        <f>Input!F78</f>
        <v>26.1</v>
      </c>
      <c r="G8" t="s">
        <v>370</v>
      </c>
      <c r="J8" s="25"/>
      <c r="K8" t="s">
        <v>0</v>
      </c>
    </row>
    <row r="9" spans="4:10" ht="15">
      <c r="D9" s="34" t="s">
        <v>121</v>
      </c>
      <c r="E9" s="63">
        <f>ROUND(Input!H78*(Input!F78/100),1)</f>
        <v>1.3</v>
      </c>
      <c r="G9" t="s">
        <v>342</v>
      </c>
      <c r="J9" s="25"/>
    </row>
    <row r="10" spans="4:10" ht="15">
      <c r="D10" s="34" t="s">
        <v>121</v>
      </c>
      <c r="E10" s="63">
        <f>ROUND((Input!I78/100)*Input!F78,1)</f>
        <v>2.6</v>
      </c>
      <c r="G10" t="s">
        <v>343</v>
      </c>
      <c r="J10" s="25"/>
    </row>
    <row r="11" spans="1:11" ht="15">
      <c r="A11" t="s">
        <v>0</v>
      </c>
      <c r="D11" s="34" t="s">
        <v>115</v>
      </c>
      <c r="E11" s="4">
        <f>Input!G78</f>
        <v>345</v>
      </c>
      <c r="G11" t="s">
        <v>191</v>
      </c>
      <c r="J11" s="25"/>
      <c r="K11" t="s">
        <v>0</v>
      </c>
    </row>
    <row r="12" spans="1:11" ht="15">
      <c r="A12" t="s">
        <v>0</v>
      </c>
      <c r="D12" s="34" t="s">
        <v>117</v>
      </c>
      <c r="E12">
        <v>1000</v>
      </c>
      <c r="G12" t="s">
        <v>255</v>
      </c>
      <c r="J12" s="25"/>
      <c r="K12" t="s">
        <v>0</v>
      </c>
    </row>
    <row r="13" spans="1:11" ht="15">
      <c r="A13" t="s">
        <v>0</v>
      </c>
      <c r="D13" s="35" t="s">
        <v>115</v>
      </c>
      <c r="E13" s="17">
        <f>Input!E78</f>
        <v>50</v>
      </c>
      <c r="F13" s="14"/>
      <c r="G13" s="14" t="s">
        <v>118</v>
      </c>
      <c r="H13" s="14"/>
      <c r="I13" s="14"/>
      <c r="J13" s="25"/>
      <c r="K13" t="s">
        <v>0</v>
      </c>
    </row>
    <row r="14" spans="1:11" ht="15.75">
      <c r="A14" t="s">
        <v>0</v>
      </c>
      <c r="D14" s="36" t="s">
        <v>119</v>
      </c>
      <c r="E14" s="18">
        <f>ROUND((((E8+E9+E10)*E11)/E12)*E13,2)</f>
        <v>517.5</v>
      </c>
      <c r="F14" s="15"/>
      <c r="G14" s="15" t="s">
        <v>120</v>
      </c>
      <c r="H14" s="15"/>
      <c r="I14" s="15"/>
      <c r="J14" s="25"/>
      <c r="K14" t="s">
        <v>0</v>
      </c>
    </row>
    <row r="15" spans="1:11" ht="15">
      <c r="A15" t="s">
        <v>0</v>
      </c>
      <c r="D15" t="s">
        <v>0</v>
      </c>
      <c r="E15" t="s">
        <v>0</v>
      </c>
      <c r="K15" t="s">
        <v>0</v>
      </c>
    </row>
    <row r="16" spans="1:11" ht="15.75">
      <c r="A16" t="s">
        <v>0</v>
      </c>
      <c r="B16" s="15"/>
      <c r="C16" s="15" t="s">
        <v>194</v>
      </c>
      <c r="K16" t="s">
        <v>0</v>
      </c>
    </row>
    <row r="17" spans="1:11" ht="15">
      <c r="A17" t="s">
        <v>0</v>
      </c>
      <c r="D17" s="34"/>
      <c r="E17" s="5">
        <f>Input!F79</f>
        <v>11</v>
      </c>
      <c r="G17" t="s">
        <v>257</v>
      </c>
      <c r="J17" s="25"/>
      <c r="K17" t="s">
        <v>0</v>
      </c>
    </row>
    <row r="18" spans="4:10" ht="15">
      <c r="D18" s="34" t="s">
        <v>121</v>
      </c>
      <c r="E18" s="63">
        <f>ROUND(((Input!H79+Input!I79)/100)*Input!F79,1)</f>
        <v>0.2</v>
      </c>
      <c r="G18" t="s">
        <v>344</v>
      </c>
      <c r="J18" s="25"/>
    </row>
    <row r="19" spans="1:11" ht="15">
      <c r="A19" t="s">
        <v>0</v>
      </c>
      <c r="D19" s="34" t="s">
        <v>115</v>
      </c>
      <c r="E19" s="4">
        <f>Input!G79</f>
        <v>345</v>
      </c>
      <c r="G19" t="s">
        <v>258</v>
      </c>
      <c r="J19" s="25"/>
      <c r="K19" t="s">
        <v>0</v>
      </c>
    </row>
    <row r="20" spans="1:11" ht="15">
      <c r="A20" t="s">
        <v>0</v>
      </c>
      <c r="D20" s="34" t="s">
        <v>117</v>
      </c>
      <c r="E20">
        <v>1000</v>
      </c>
      <c r="G20" t="s">
        <v>255</v>
      </c>
      <c r="J20" s="25"/>
      <c r="K20" t="s">
        <v>0</v>
      </c>
    </row>
    <row r="21" spans="1:11" ht="15">
      <c r="A21" t="s">
        <v>0</v>
      </c>
      <c r="D21" s="35" t="s">
        <v>115</v>
      </c>
      <c r="E21" s="17">
        <f>Input!E79</f>
        <v>445</v>
      </c>
      <c r="F21" s="14"/>
      <c r="G21" s="14" t="s">
        <v>118</v>
      </c>
      <c r="H21" s="14"/>
      <c r="I21" s="14"/>
      <c r="J21" s="25"/>
      <c r="K21" t="s">
        <v>0</v>
      </c>
    </row>
    <row r="22" spans="1:11" ht="15.75">
      <c r="A22" t="s">
        <v>0</v>
      </c>
      <c r="D22" s="37" t="s">
        <v>119</v>
      </c>
      <c r="E22" s="18">
        <f>ROUND((((E17+E18)*E19)/E20)*E21,2)</f>
        <v>1719.48</v>
      </c>
      <c r="F22" s="15"/>
      <c r="G22" s="15" t="s">
        <v>120</v>
      </c>
      <c r="H22" s="15"/>
      <c r="J22" s="25"/>
      <c r="K22" t="s">
        <v>0</v>
      </c>
    </row>
    <row r="23" spans="1:11" ht="15">
      <c r="A23" t="s">
        <v>0</v>
      </c>
      <c r="E23" s="2"/>
      <c r="K23" t="s">
        <v>0</v>
      </c>
    </row>
    <row r="24" spans="1:11" ht="15.75">
      <c r="A24" t="s">
        <v>0</v>
      </c>
      <c r="B24" s="15"/>
      <c r="C24" s="15" t="s">
        <v>193</v>
      </c>
      <c r="K24" t="s">
        <v>0</v>
      </c>
    </row>
    <row r="25" spans="1:11" ht="15">
      <c r="A25" t="s">
        <v>0</v>
      </c>
      <c r="E25" s="1">
        <f>Input!F80</f>
        <v>0.27</v>
      </c>
      <c r="G25" t="s">
        <v>321</v>
      </c>
      <c r="J25" s="25"/>
      <c r="K25" t="s">
        <v>0</v>
      </c>
    </row>
    <row r="26" spans="4:10" ht="15">
      <c r="D26" s="34" t="s">
        <v>121</v>
      </c>
      <c r="E26" s="68">
        <f>ROUND(((Input!H80+Input!I80)/100)*Input!F80,4)</f>
        <v>0.0054</v>
      </c>
      <c r="G26" t="s">
        <v>345</v>
      </c>
      <c r="J26" s="25"/>
    </row>
    <row r="27" spans="4:10" ht="15">
      <c r="D27" s="34" t="s">
        <v>115</v>
      </c>
      <c r="E27" s="4">
        <f>Input!G80</f>
        <v>345</v>
      </c>
      <c r="G27" t="s">
        <v>322</v>
      </c>
      <c r="J27" s="25"/>
    </row>
    <row r="28" spans="1:11" ht="15">
      <c r="A28" t="s">
        <v>0</v>
      </c>
      <c r="D28" s="14" t="s">
        <v>115</v>
      </c>
      <c r="E28" s="17">
        <f>Input!D80</f>
        <v>0.4</v>
      </c>
      <c r="F28" s="14"/>
      <c r="G28" s="14" t="s">
        <v>252</v>
      </c>
      <c r="H28" s="14"/>
      <c r="J28" s="25"/>
      <c r="K28" t="s">
        <v>0</v>
      </c>
    </row>
    <row r="29" spans="1:11" ht="15.75">
      <c r="A29" t="s">
        <v>0</v>
      </c>
      <c r="D29" s="15" t="s">
        <v>119</v>
      </c>
      <c r="E29" s="18">
        <f>ROUND(((E25+E26)*E27)*E28,2)</f>
        <v>38.01</v>
      </c>
      <c r="F29" s="15"/>
      <c r="G29" s="15" t="s">
        <v>120</v>
      </c>
      <c r="H29" s="15"/>
      <c r="I29" s="15"/>
      <c r="J29" s="25"/>
      <c r="K29" t="s">
        <v>0</v>
      </c>
    </row>
    <row r="30" spans="1:11" ht="15">
      <c r="A30" t="s">
        <v>0</v>
      </c>
      <c r="K30" t="s">
        <v>0</v>
      </c>
    </row>
    <row r="31" spans="1:11" ht="15.75">
      <c r="A31" t="s">
        <v>0</v>
      </c>
      <c r="B31" s="15" t="s">
        <v>283</v>
      </c>
      <c r="C31" s="15"/>
      <c r="K31" t="s">
        <v>0</v>
      </c>
    </row>
    <row r="32" spans="1:11" ht="15.75">
      <c r="A32" t="s">
        <v>0</v>
      </c>
      <c r="B32" s="15"/>
      <c r="C32" s="15" t="s">
        <v>256</v>
      </c>
      <c r="D32" s="34"/>
      <c r="K32" t="s">
        <v>0</v>
      </c>
    </row>
    <row r="33" spans="1:11" ht="15">
      <c r="A33" t="s">
        <v>0</v>
      </c>
      <c r="C33" t="s">
        <v>347</v>
      </c>
      <c r="D33" s="34"/>
      <c r="E33" s="3">
        <f>Input!F90</f>
        <v>13</v>
      </c>
      <c r="G33" t="s">
        <v>371</v>
      </c>
      <c r="J33" s="25"/>
      <c r="K33" t="s">
        <v>0</v>
      </c>
    </row>
    <row r="34" spans="4:10" ht="15">
      <c r="D34" s="34" t="s">
        <v>121</v>
      </c>
      <c r="E34" s="3">
        <f>ROUND(Input!F90*(Input!H90/100),1)</f>
        <v>2.6</v>
      </c>
      <c r="G34" t="s">
        <v>323</v>
      </c>
      <c r="J34" s="25"/>
    </row>
    <row r="35" spans="1:11" ht="15">
      <c r="A35" t="s">
        <v>0</v>
      </c>
      <c r="D35" s="34" t="s">
        <v>115</v>
      </c>
      <c r="E35" s="4">
        <f>Input!G90</f>
        <v>70</v>
      </c>
      <c r="G35" t="s">
        <v>116</v>
      </c>
      <c r="J35" s="25"/>
      <c r="K35" t="s">
        <v>0</v>
      </c>
    </row>
    <row r="36" spans="1:11" ht="15">
      <c r="A36" t="s">
        <v>0</v>
      </c>
      <c r="D36" s="34" t="s">
        <v>117</v>
      </c>
      <c r="E36" s="5">
        <v>1000</v>
      </c>
      <c r="G36" t="s">
        <v>255</v>
      </c>
      <c r="J36" s="25"/>
      <c r="K36" t="s">
        <v>0</v>
      </c>
    </row>
    <row r="37" spans="1:11" ht="15">
      <c r="A37" t="s">
        <v>0</v>
      </c>
      <c r="D37" s="35" t="s">
        <v>115</v>
      </c>
      <c r="E37" s="17">
        <f>Input!E90</f>
        <v>120</v>
      </c>
      <c r="F37" s="14"/>
      <c r="G37" s="14" t="s">
        <v>118</v>
      </c>
      <c r="H37" s="14"/>
      <c r="I37" s="14"/>
      <c r="J37" s="25"/>
      <c r="K37" t="s">
        <v>0</v>
      </c>
    </row>
    <row r="38" spans="1:11" ht="15.75">
      <c r="A38" t="s">
        <v>0</v>
      </c>
      <c r="D38" s="36" t="s">
        <v>119</v>
      </c>
      <c r="E38" s="18">
        <f>ROUND((((E33+E34)*E35)/E36)*E37,2)</f>
        <v>131.04</v>
      </c>
      <c r="F38" s="15"/>
      <c r="G38" s="15" t="s">
        <v>120</v>
      </c>
      <c r="H38" s="15"/>
      <c r="I38" s="15"/>
      <c r="J38" s="25"/>
      <c r="K38" t="s">
        <v>0</v>
      </c>
    </row>
    <row r="39" spans="1:11" ht="15">
      <c r="A39" t="s">
        <v>0</v>
      </c>
      <c r="E39" s="2"/>
      <c r="K39" t="s">
        <v>0</v>
      </c>
    </row>
    <row r="40" spans="1:11" ht="15">
      <c r="A40" t="s">
        <v>0</v>
      </c>
      <c r="C40" s="24" t="s">
        <v>348</v>
      </c>
      <c r="D40" s="34"/>
      <c r="E40" s="3">
        <f>Input!F91</f>
        <v>2</v>
      </c>
      <c r="G40" t="s">
        <v>350</v>
      </c>
      <c r="J40" s="25"/>
      <c r="K40" t="s">
        <v>0</v>
      </c>
    </row>
    <row r="41" spans="3:10" ht="15">
      <c r="C41" s="24"/>
      <c r="D41" s="34" t="s">
        <v>121</v>
      </c>
      <c r="E41" s="1">
        <f>Input!F91*(Input!H91/100)</f>
        <v>0</v>
      </c>
      <c r="G41" t="s">
        <v>323</v>
      </c>
      <c r="J41" s="25"/>
    </row>
    <row r="42" spans="1:11" ht="15">
      <c r="A42" t="s">
        <v>0</v>
      </c>
      <c r="D42" s="34" t="s">
        <v>115</v>
      </c>
      <c r="E42" s="4">
        <f>Input!G91</f>
        <v>70</v>
      </c>
      <c r="G42" t="s">
        <v>258</v>
      </c>
      <c r="J42" s="25"/>
      <c r="K42" t="s">
        <v>0</v>
      </c>
    </row>
    <row r="43" spans="1:11" ht="15">
      <c r="A43" t="s">
        <v>0</v>
      </c>
      <c r="D43" s="34" t="s">
        <v>117</v>
      </c>
      <c r="E43" s="5">
        <v>1000</v>
      </c>
      <c r="G43" t="s">
        <v>255</v>
      </c>
      <c r="J43" s="25"/>
      <c r="K43" t="s">
        <v>0</v>
      </c>
    </row>
    <row r="44" spans="1:11" ht="15">
      <c r="A44" t="s">
        <v>0</v>
      </c>
      <c r="D44" s="35" t="s">
        <v>115</v>
      </c>
      <c r="E44" s="17">
        <f>Input!E91</f>
        <v>500</v>
      </c>
      <c r="F44" s="14"/>
      <c r="G44" s="14" t="s">
        <v>118</v>
      </c>
      <c r="H44" s="14"/>
      <c r="I44" s="14"/>
      <c r="J44" s="25"/>
      <c r="K44" t="s">
        <v>0</v>
      </c>
    </row>
    <row r="45" spans="1:11" ht="15.75">
      <c r="A45" t="s">
        <v>0</v>
      </c>
      <c r="D45" s="36" t="s">
        <v>119</v>
      </c>
      <c r="E45" s="18">
        <f>ROUND((((E40+E41)*E42)/E43)*E44,2)</f>
        <v>70</v>
      </c>
      <c r="F45" s="15"/>
      <c r="G45" s="15" t="s">
        <v>120</v>
      </c>
      <c r="H45" s="15"/>
      <c r="I45" s="15"/>
      <c r="J45" s="25"/>
      <c r="K45" t="s">
        <v>0</v>
      </c>
    </row>
    <row r="46" spans="1:11" ht="15">
      <c r="A46" t="s">
        <v>0</v>
      </c>
      <c r="E46" s="2"/>
      <c r="K46" t="s">
        <v>0</v>
      </c>
    </row>
    <row r="47" spans="3:10" ht="15.75">
      <c r="C47" t="s">
        <v>349</v>
      </c>
      <c r="D47" s="36" t="s">
        <v>119</v>
      </c>
      <c r="E47" s="29">
        <f>E38+E45</f>
        <v>201.04</v>
      </c>
      <c r="G47" s="15" t="s">
        <v>120</v>
      </c>
      <c r="J47" s="25"/>
    </row>
    <row r="48" ht="15">
      <c r="E48" s="2"/>
    </row>
    <row r="49" spans="3:5" ht="15.75">
      <c r="C49" s="15" t="s">
        <v>403</v>
      </c>
      <c r="E49" s="2"/>
    </row>
    <row r="50" spans="3:10" ht="15">
      <c r="C50" t="s">
        <v>347</v>
      </c>
      <c r="E50" s="60">
        <f>Input!F97</f>
        <v>4</v>
      </c>
      <c r="G50" t="s">
        <v>371</v>
      </c>
      <c r="J50" s="25"/>
    </row>
    <row r="51" spans="4:10" ht="15">
      <c r="D51" s="34" t="s">
        <v>121</v>
      </c>
      <c r="E51" s="1">
        <f>Input!F97*(Input!H97/100)</f>
        <v>0.8</v>
      </c>
      <c r="G51" t="s">
        <v>323</v>
      </c>
      <c r="J51" s="25"/>
    </row>
    <row r="52" spans="4:10" ht="15">
      <c r="D52" s="34" t="s">
        <v>115</v>
      </c>
      <c r="E52" s="59">
        <f>Input!G97</f>
        <v>15</v>
      </c>
      <c r="G52" t="s">
        <v>116</v>
      </c>
      <c r="J52" s="25"/>
    </row>
    <row r="53" spans="4:10" ht="15">
      <c r="D53" s="34" t="s">
        <v>117</v>
      </c>
      <c r="E53" s="59">
        <v>1000</v>
      </c>
      <c r="G53" t="s">
        <v>255</v>
      </c>
      <c r="J53" s="25"/>
    </row>
    <row r="54" spans="4:10" ht="15">
      <c r="D54" s="35" t="s">
        <v>115</v>
      </c>
      <c r="E54" s="61">
        <f>Input!E97</f>
        <v>120</v>
      </c>
      <c r="G54" s="14" t="s">
        <v>118</v>
      </c>
      <c r="J54" s="25"/>
    </row>
    <row r="55" spans="4:10" ht="15.75">
      <c r="D55" s="36" t="s">
        <v>119</v>
      </c>
      <c r="E55" s="18">
        <f>ROUND((((E50+E51)*E52)/E53)*E54,2)</f>
        <v>8.64</v>
      </c>
      <c r="G55" s="15" t="s">
        <v>120</v>
      </c>
      <c r="J55" s="25"/>
    </row>
    <row r="56" ht="15">
      <c r="E56" s="2"/>
    </row>
    <row r="57" spans="3:10" ht="15">
      <c r="C57" t="s">
        <v>346</v>
      </c>
      <c r="E57" s="60">
        <f>Input!F98</f>
        <v>4.2</v>
      </c>
      <c r="G57" t="s">
        <v>350</v>
      </c>
      <c r="J57" s="25"/>
    </row>
    <row r="58" spans="4:10" ht="15">
      <c r="D58" s="34" t="s">
        <v>121</v>
      </c>
      <c r="E58" s="1">
        <f>Input!F98*(Input!H98/100)</f>
        <v>0</v>
      </c>
      <c r="G58" t="s">
        <v>323</v>
      </c>
      <c r="J58" s="25"/>
    </row>
    <row r="59" spans="4:10" ht="15">
      <c r="D59" s="34" t="s">
        <v>115</v>
      </c>
      <c r="E59" s="59">
        <f>Input!G98</f>
        <v>15</v>
      </c>
      <c r="G59" t="s">
        <v>258</v>
      </c>
      <c r="J59" s="25"/>
    </row>
    <row r="60" spans="4:10" ht="15">
      <c r="D60" s="34" t="s">
        <v>117</v>
      </c>
      <c r="E60" s="59">
        <v>1000</v>
      </c>
      <c r="G60" t="s">
        <v>255</v>
      </c>
      <c r="J60" s="25"/>
    </row>
    <row r="61" spans="4:10" ht="15">
      <c r="D61" s="35" t="s">
        <v>115</v>
      </c>
      <c r="E61" s="61">
        <f>Input!E98</f>
        <v>500</v>
      </c>
      <c r="G61" s="14" t="s">
        <v>118</v>
      </c>
      <c r="J61" s="25"/>
    </row>
    <row r="62" spans="4:10" ht="15.75">
      <c r="D62" s="36" t="s">
        <v>119</v>
      </c>
      <c r="E62" s="18">
        <f>ROUND((((E57+E58)*E59)/E60)*E61,2)</f>
        <v>31.5</v>
      </c>
      <c r="G62" s="15" t="s">
        <v>120</v>
      </c>
      <c r="J62" s="25"/>
    </row>
    <row r="63" spans="4:5" ht="15">
      <c r="D63" s="34"/>
      <c r="E63" s="2"/>
    </row>
    <row r="64" spans="3:5" ht="15">
      <c r="C64" t="s">
        <v>351</v>
      </c>
      <c r="D64" s="34"/>
      <c r="E64" s="2"/>
    </row>
    <row r="65" spans="4:10" ht="15">
      <c r="D65" s="34"/>
      <c r="E65" s="60">
        <f>Input!F99</f>
        <v>7</v>
      </c>
      <c r="G65" t="s">
        <v>272</v>
      </c>
      <c r="J65" s="25"/>
    </row>
    <row r="66" spans="4:10" ht="15">
      <c r="D66" s="34" t="s">
        <v>121</v>
      </c>
      <c r="E66" s="69">
        <f>Input!F99*(Input!H99/100)</f>
        <v>0.7000000000000001</v>
      </c>
      <c r="G66" t="s">
        <v>323</v>
      </c>
      <c r="J66" s="25"/>
    </row>
    <row r="67" spans="4:10" ht="15">
      <c r="D67" s="34" t="s">
        <v>115</v>
      </c>
      <c r="E67" s="59">
        <f>Input!G99</f>
        <v>15</v>
      </c>
      <c r="G67" t="s">
        <v>258</v>
      </c>
      <c r="J67" s="25"/>
    </row>
    <row r="68" spans="4:10" ht="15">
      <c r="D68" s="34" t="s">
        <v>117</v>
      </c>
      <c r="E68" s="59">
        <v>1000</v>
      </c>
      <c r="G68" t="s">
        <v>255</v>
      </c>
      <c r="J68" s="25"/>
    </row>
    <row r="69" spans="4:10" ht="15">
      <c r="D69" s="35" t="s">
        <v>115</v>
      </c>
      <c r="E69" s="61">
        <f>Input!E99</f>
        <v>172.77227722772278</v>
      </c>
      <c r="G69" s="14" t="s">
        <v>118</v>
      </c>
      <c r="J69" s="25"/>
    </row>
    <row r="70" spans="4:10" ht="15.75">
      <c r="D70" s="36" t="s">
        <v>119</v>
      </c>
      <c r="E70" s="18">
        <f>ROUND((((E65+E66)*E67)/E68)*E69,2)</f>
        <v>19.96</v>
      </c>
      <c r="G70" s="15" t="s">
        <v>120</v>
      </c>
      <c r="J70" s="25"/>
    </row>
    <row r="71" spans="4:5" ht="15">
      <c r="D71" s="34"/>
      <c r="E71" s="2"/>
    </row>
    <row r="72" spans="3:10" ht="15.75">
      <c r="C72" t="s">
        <v>259</v>
      </c>
      <c r="D72" s="36" t="s">
        <v>119</v>
      </c>
      <c r="E72" s="29">
        <f>E55+E62+E70</f>
        <v>60.1</v>
      </c>
      <c r="G72" s="15" t="s">
        <v>120</v>
      </c>
      <c r="J72" s="25"/>
    </row>
    <row r="73" ht="15">
      <c r="E73" s="2"/>
    </row>
    <row r="74" spans="1:11" ht="15.75">
      <c r="A74" t="s">
        <v>0</v>
      </c>
      <c r="B74" s="15" t="s">
        <v>87</v>
      </c>
      <c r="K74" t="s">
        <v>0</v>
      </c>
    </row>
    <row r="75" spans="1:11" ht="15.75">
      <c r="A75" t="s">
        <v>0</v>
      </c>
      <c r="B75" s="15" t="s">
        <v>305</v>
      </c>
      <c r="K75" t="s">
        <v>0</v>
      </c>
    </row>
    <row r="76" spans="3:10" ht="15">
      <c r="C76" s="270" t="s">
        <v>306</v>
      </c>
      <c r="D76" s="271"/>
      <c r="E76" s="271"/>
      <c r="F76" s="271"/>
      <c r="G76" s="271"/>
      <c r="H76" s="271"/>
      <c r="I76" s="271"/>
      <c r="J76" s="62"/>
    </row>
    <row r="77" spans="2:10" ht="15">
      <c r="B77" s="65"/>
      <c r="C77" s="271"/>
      <c r="D77" s="271"/>
      <c r="E77" s="271"/>
      <c r="F77" s="271"/>
      <c r="G77" s="271"/>
      <c r="H77" s="271"/>
      <c r="I77" s="271"/>
      <c r="J77" s="62"/>
    </row>
    <row r="78" spans="2:10" ht="15.75">
      <c r="B78" s="15"/>
      <c r="C78" s="16" t="s">
        <v>122</v>
      </c>
      <c r="D78" s="34" t="s">
        <v>121</v>
      </c>
      <c r="E78" s="2">
        <f>'Other Costs'!G7</f>
        <v>250</v>
      </c>
      <c r="G78" t="str">
        <f>"semi annual fee $"&amp;'Other Costs'!E7&amp;" x "&amp;'Other Costs'!E6&amp;""</f>
        <v>semi annual fee $125 x 2</v>
      </c>
      <c r="J78" s="25"/>
    </row>
    <row r="79" spans="1:11" ht="15">
      <c r="A79" t="s">
        <v>0</v>
      </c>
      <c r="C79" s="16" t="s">
        <v>276</v>
      </c>
      <c r="D79" s="34" t="s">
        <v>121</v>
      </c>
      <c r="E79" s="48">
        <f>'Other Costs'!G9</f>
        <v>287.5</v>
      </c>
      <c r="G79" t="str">
        <f>"call fee $"&amp;'Other Costs'!E9&amp;" x "&amp;'Other Costs'!E8&amp;" tests"</f>
        <v>call fee $57.5 x 5 tests</v>
      </c>
      <c r="J79" s="25"/>
      <c r="K79" t="s">
        <v>0</v>
      </c>
    </row>
    <row r="80" spans="1:11" ht="15">
      <c r="A80" t="s">
        <v>0</v>
      </c>
      <c r="C80" s="16" t="s">
        <v>372</v>
      </c>
      <c r="D80" s="34" t="s">
        <v>121</v>
      </c>
      <c r="E80" s="2">
        <f>'Other Costs'!G11</f>
        <v>2316.9299999999994</v>
      </c>
      <c r="G80" t="str">
        <f>'Other Costs'!E10&amp;" tests x "&amp;Input!G14&amp;" cows x $"&amp;'Other Costs'!E11&amp;"/cow"</f>
        <v>11 tests x 99 cows x $2.55/cow</v>
      </c>
      <c r="J80" s="25"/>
      <c r="K80" t="s">
        <v>0</v>
      </c>
    </row>
    <row r="81" spans="3:10" ht="15">
      <c r="C81" s="16" t="s">
        <v>277</v>
      </c>
      <c r="D81" s="34" t="s">
        <v>121</v>
      </c>
      <c r="E81" s="2">
        <f>'Other Costs'!G14</f>
        <v>228.75</v>
      </c>
      <c r="G81" t="str">
        <f>'Other Costs'!E12&amp;" tests x "&amp;'Other Costs'!E13&amp;" hours x $"&amp;'Other Costs'!E14&amp;"/hour"</f>
        <v>5 tests x 1.5 hours x $30.5/hour</v>
      </c>
      <c r="J81" s="25"/>
    </row>
    <row r="82" spans="3:10" ht="15">
      <c r="C82" s="16" t="s">
        <v>278</v>
      </c>
      <c r="D82" s="34" t="s">
        <v>121</v>
      </c>
      <c r="E82" s="2">
        <f>'Other Costs'!G16</f>
        <v>316.8</v>
      </c>
      <c r="G82" t="str">
        <f>'Other Costs'!E15&amp;" tests x "&amp;Input!G14&amp;" cows x $"&amp;'Other Costs'!E16&amp;"0/cow"</f>
        <v>10 tests x 99 cows x $0.320/cow</v>
      </c>
      <c r="J82" s="25"/>
    </row>
    <row r="83" spans="3:10" ht="15">
      <c r="C83" s="16" t="s">
        <v>279</v>
      </c>
      <c r="D83" s="34" t="s">
        <v>121</v>
      </c>
      <c r="E83" s="2">
        <f>'Other Costs'!G17*Input!G14</f>
        <v>280.17</v>
      </c>
      <c r="G83" s="7" t="str">
        <f>"$"&amp;'Other Costs'!G17&amp;"/head x "&amp;Input!F108&amp;" heifers"</f>
        <v>$2.83/head x 46 heifers</v>
      </c>
      <c r="J83" s="25"/>
    </row>
    <row r="84" spans="1:11" ht="15">
      <c r="A84" t="s">
        <v>0</v>
      </c>
      <c r="C84" s="16" t="s">
        <v>373</v>
      </c>
      <c r="D84" s="34" t="s">
        <v>121</v>
      </c>
      <c r="E84" s="2">
        <f>'Other Costs'!G18</f>
        <v>120</v>
      </c>
      <c r="G84" t="s">
        <v>280</v>
      </c>
      <c r="J84" s="25"/>
      <c r="K84" t="s">
        <v>0</v>
      </c>
    </row>
    <row r="85" spans="1:11" ht="15">
      <c r="A85" t="s">
        <v>0</v>
      </c>
      <c r="D85" s="35" t="s">
        <v>117</v>
      </c>
      <c r="E85" s="14">
        <f>Input!G14</f>
        <v>99</v>
      </c>
      <c r="F85" s="14" t="s">
        <v>1</v>
      </c>
      <c r="G85" s="14" t="s">
        <v>123</v>
      </c>
      <c r="H85" s="14"/>
      <c r="I85" s="14"/>
      <c r="J85" s="25"/>
      <c r="K85" t="s">
        <v>0</v>
      </c>
    </row>
    <row r="86" spans="1:11" ht="15.75">
      <c r="A86" t="s">
        <v>0</v>
      </c>
      <c r="D86" s="36" t="s">
        <v>119</v>
      </c>
      <c r="E86" s="18">
        <f>ROUND(SUM(E78:E84)/E85,2)</f>
        <v>38.39</v>
      </c>
      <c r="F86" s="15"/>
      <c r="G86" s="15" t="s">
        <v>120</v>
      </c>
      <c r="H86" s="15"/>
      <c r="I86" s="15"/>
      <c r="J86" s="25"/>
      <c r="K86" t="s">
        <v>0</v>
      </c>
    </row>
    <row r="87" spans="1:11" ht="15">
      <c r="A87" t="s">
        <v>0</v>
      </c>
      <c r="K87" t="s">
        <v>0</v>
      </c>
    </row>
    <row r="88" spans="1:11" ht="15.75">
      <c r="A88" t="s">
        <v>0</v>
      </c>
      <c r="B88" s="15" t="s">
        <v>36</v>
      </c>
      <c r="K88" t="s">
        <v>0</v>
      </c>
    </row>
    <row r="89" spans="1:11" ht="15">
      <c r="A89" t="s">
        <v>0</v>
      </c>
      <c r="D89" s="34"/>
      <c r="E89" s="1">
        <f>'Other Costs'!G21</f>
        <v>2</v>
      </c>
      <c r="G89" t="s">
        <v>124</v>
      </c>
      <c r="J89" s="25"/>
      <c r="K89" t="s">
        <v>0</v>
      </c>
    </row>
    <row r="90" spans="1:11" ht="15">
      <c r="A90" t="s">
        <v>0</v>
      </c>
      <c r="D90" s="35" t="s">
        <v>115</v>
      </c>
      <c r="E90" s="17">
        <f>'Other Costs'!G22</f>
        <v>45</v>
      </c>
      <c r="F90" s="14"/>
      <c r="G90" s="14" t="s">
        <v>118</v>
      </c>
      <c r="H90" s="14"/>
      <c r="I90" s="14"/>
      <c r="J90" s="25"/>
      <c r="K90" t="s">
        <v>0</v>
      </c>
    </row>
    <row r="91" spans="1:11" ht="15.75">
      <c r="A91" t="s">
        <v>0</v>
      </c>
      <c r="D91" s="36" t="s">
        <v>119</v>
      </c>
      <c r="E91" s="18">
        <f>ROUND(E89*E90,2)</f>
        <v>90</v>
      </c>
      <c r="F91" s="15"/>
      <c r="G91" s="15" t="s">
        <v>120</v>
      </c>
      <c r="H91" s="15"/>
      <c r="I91" s="15"/>
      <c r="J91" s="25"/>
      <c r="K91" t="s">
        <v>0</v>
      </c>
    </row>
    <row r="92" spans="1:11" ht="15">
      <c r="A92" t="s">
        <v>0</v>
      </c>
      <c r="K92" t="s">
        <v>0</v>
      </c>
    </row>
    <row r="93" spans="1:11" ht="15.75">
      <c r="A93" t="s">
        <v>0</v>
      </c>
      <c r="B93" s="15" t="s">
        <v>284</v>
      </c>
      <c r="K93" t="s">
        <v>0</v>
      </c>
    </row>
    <row r="94" spans="1:11" ht="15">
      <c r="A94" t="s">
        <v>0</v>
      </c>
      <c r="C94" s="265" t="s">
        <v>355</v>
      </c>
      <c r="K94" t="s">
        <v>0</v>
      </c>
    </row>
    <row r="95" spans="1:11" ht="15">
      <c r="A95" t="s">
        <v>0</v>
      </c>
      <c r="C95" s="265"/>
      <c r="D95" s="34"/>
      <c r="E95" s="2">
        <f>Input!G118</f>
        <v>8500</v>
      </c>
      <c r="G95" t="s">
        <v>281</v>
      </c>
      <c r="J95" s="25"/>
      <c r="K95" t="s">
        <v>0</v>
      </c>
    </row>
    <row r="96" spans="3:4" ht="15">
      <c r="C96" s="67"/>
      <c r="D96" s="34"/>
    </row>
    <row r="97" spans="1:11" ht="15">
      <c r="A97" t="s">
        <v>0</v>
      </c>
      <c r="C97" t="s">
        <v>374</v>
      </c>
      <c r="D97" s="34"/>
      <c r="E97" s="2">
        <f>Input!G122</f>
        <v>141</v>
      </c>
      <c r="G97" t="s">
        <v>125</v>
      </c>
      <c r="J97" s="25"/>
      <c r="K97" t="s">
        <v>0</v>
      </c>
    </row>
    <row r="98" spans="1:11" ht="15">
      <c r="A98" t="s">
        <v>0</v>
      </c>
      <c r="D98" s="35" t="s">
        <v>115</v>
      </c>
      <c r="E98" s="19">
        <f>Input!G120*Input!G121</f>
        <v>24</v>
      </c>
      <c r="F98" s="14"/>
      <c r="G98" s="14" t="str">
        <f>"hours ("&amp;Input!G121&amp;" visits x "&amp;Input!G120&amp;" hrs/visit)"</f>
        <v>hours (12 visits x 2 hrs/visit)</v>
      </c>
      <c r="H98" s="14"/>
      <c r="I98" s="14"/>
      <c r="J98" s="25"/>
      <c r="K98" t="s">
        <v>0</v>
      </c>
    </row>
    <row r="99" spans="1:11" ht="15">
      <c r="A99" t="s">
        <v>0</v>
      </c>
      <c r="D99" s="34" t="s">
        <v>119</v>
      </c>
      <c r="E99" s="2">
        <f>ROUND(E97*E98,2)</f>
        <v>3384</v>
      </c>
      <c r="G99" t="s">
        <v>281</v>
      </c>
      <c r="J99" s="25"/>
      <c r="K99" t="s">
        <v>0</v>
      </c>
    </row>
    <row r="100" spans="1:11" ht="15">
      <c r="A100" t="s">
        <v>0</v>
      </c>
      <c r="K100" t="s">
        <v>0</v>
      </c>
    </row>
    <row r="101" spans="1:11" ht="15">
      <c r="A101" t="s">
        <v>0</v>
      </c>
      <c r="C101" t="s">
        <v>324</v>
      </c>
      <c r="E101" s="2">
        <f>Input!G123</f>
        <v>0.85</v>
      </c>
      <c r="G101" t="s">
        <v>127</v>
      </c>
      <c r="J101" s="25"/>
      <c r="K101" t="s">
        <v>0</v>
      </c>
    </row>
    <row r="102" spans="1:11" ht="15">
      <c r="A102" t="s">
        <v>0</v>
      </c>
      <c r="D102" s="34" t="s">
        <v>115</v>
      </c>
      <c r="E102" s="4">
        <f>Input!G127</f>
        <v>30</v>
      </c>
      <c r="G102" t="s">
        <v>380</v>
      </c>
      <c r="J102" s="25"/>
      <c r="K102" t="s">
        <v>0</v>
      </c>
    </row>
    <row r="103" spans="1:11" ht="15">
      <c r="A103" t="s">
        <v>0</v>
      </c>
      <c r="D103" s="35" t="s">
        <v>115</v>
      </c>
      <c r="E103" s="19">
        <f>Input!G121</f>
        <v>12</v>
      </c>
      <c r="F103" s="14"/>
      <c r="G103" s="14" t="s">
        <v>128</v>
      </c>
      <c r="H103" s="14"/>
      <c r="I103" s="14"/>
      <c r="J103" s="25"/>
      <c r="K103" t="s">
        <v>0</v>
      </c>
    </row>
    <row r="104" spans="1:11" ht="15">
      <c r="A104" t="s">
        <v>0</v>
      </c>
      <c r="D104" s="34" t="s">
        <v>119</v>
      </c>
      <c r="E104" s="2">
        <f>ROUND(E101*E102*E103,2)</f>
        <v>306</v>
      </c>
      <c r="F104" s="14"/>
      <c r="G104" t="s">
        <v>281</v>
      </c>
      <c r="I104" s="14"/>
      <c r="J104" s="25"/>
      <c r="K104" t="s">
        <v>0</v>
      </c>
    </row>
    <row r="105" spans="1:11" ht="15">
      <c r="A105" t="s">
        <v>0</v>
      </c>
      <c r="D105" s="34"/>
      <c r="E105" s="2"/>
      <c r="K105" t="s">
        <v>0</v>
      </c>
    </row>
    <row r="106" spans="1:11" ht="15">
      <c r="A106" t="s">
        <v>0</v>
      </c>
      <c r="C106" t="s">
        <v>230</v>
      </c>
      <c r="D106" s="34" t="s">
        <v>119</v>
      </c>
      <c r="E106" s="2">
        <f>Input!G124</f>
        <v>5000</v>
      </c>
      <c r="G106" t="s">
        <v>281</v>
      </c>
      <c r="J106" s="25"/>
      <c r="K106" t="s">
        <v>0</v>
      </c>
    </row>
    <row r="107" spans="1:11" ht="15">
      <c r="A107" t="s">
        <v>0</v>
      </c>
      <c r="D107" s="34"/>
      <c r="K107" t="s">
        <v>0</v>
      </c>
    </row>
    <row r="108" spans="3:10" ht="15">
      <c r="C108" t="s">
        <v>331</v>
      </c>
      <c r="D108" s="34"/>
      <c r="E108" s="48">
        <f>Input!G126</f>
        <v>0.85</v>
      </c>
      <c r="G108" t="s">
        <v>127</v>
      </c>
      <c r="J108" s="25"/>
    </row>
    <row r="109" spans="4:10" ht="15">
      <c r="D109" s="34" t="s">
        <v>115</v>
      </c>
      <c r="E109">
        <f>Input!G127</f>
        <v>30</v>
      </c>
      <c r="G109" t="s">
        <v>380</v>
      </c>
      <c r="J109" s="25"/>
    </row>
    <row r="110" spans="4:10" ht="15">
      <c r="D110" s="35" t="s">
        <v>115</v>
      </c>
      <c r="E110" s="50">
        <f>Input!G125</f>
        <v>6</v>
      </c>
      <c r="G110" s="14" t="s">
        <v>128</v>
      </c>
      <c r="J110" s="25"/>
    </row>
    <row r="111" spans="4:10" ht="15">
      <c r="D111" s="34" t="s">
        <v>119</v>
      </c>
      <c r="E111" s="2">
        <f>ROUND(E108*E109*E110,2)</f>
        <v>153</v>
      </c>
      <c r="G111" t="s">
        <v>281</v>
      </c>
      <c r="J111" s="25"/>
    </row>
    <row r="112" ht="15">
      <c r="D112" s="34"/>
    </row>
    <row r="113" spans="1:11" ht="15">
      <c r="A113" t="s">
        <v>0</v>
      </c>
      <c r="C113" t="s">
        <v>134</v>
      </c>
      <c r="D113" s="34" t="s">
        <v>119</v>
      </c>
      <c r="E113" s="2">
        <f>E95+E99+E104+E106+E111</f>
        <v>17343</v>
      </c>
      <c r="G113" t="s">
        <v>129</v>
      </c>
      <c r="J113" s="25"/>
      <c r="K113" t="s">
        <v>0</v>
      </c>
    </row>
    <row r="114" spans="1:11" ht="15">
      <c r="A114" t="s">
        <v>0</v>
      </c>
      <c r="D114" s="35" t="s">
        <v>117</v>
      </c>
      <c r="E114" s="14">
        <f>Input!G14</f>
        <v>99</v>
      </c>
      <c r="F114" s="14" t="s">
        <v>1</v>
      </c>
      <c r="G114" s="14" t="s">
        <v>123</v>
      </c>
      <c r="H114" s="14"/>
      <c r="I114" s="14"/>
      <c r="J114" s="25"/>
      <c r="K114" t="s">
        <v>0</v>
      </c>
    </row>
    <row r="115" spans="1:11" ht="15.75">
      <c r="A115" t="s">
        <v>0</v>
      </c>
      <c r="D115" s="36" t="s">
        <v>119</v>
      </c>
      <c r="E115" s="18">
        <f>ROUND(E113/E114,2)</f>
        <v>175.18</v>
      </c>
      <c r="F115" s="15"/>
      <c r="G115" s="15" t="s">
        <v>120</v>
      </c>
      <c r="H115" s="15"/>
      <c r="I115" s="15"/>
      <c r="J115" s="25"/>
      <c r="K115" t="s">
        <v>0</v>
      </c>
    </row>
    <row r="116" spans="1:11" ht="15">
      <c r="A116" t="s">
        <v>0</v>
      </c>
      <c r="E116" s="2"/>
      <c r="K116" t="s">
        <v>0</v>
      </c>
    </row>
    <row r="117" spans="1:11" ht="15.75">
      <c r="A117" t="s">
        <v>0</v>
      </c>
      <c r="B117" s="15" t="s">
        <v>285</v>
      </c>
      <c r="K117" t="s">
        <v>0</v>
      </c>
    </row>
    <row r="118" spans="1:11" ht="15">
      <c r="A118" t="s">
        <v>0</v>
      </c>
      <c r="C118" t="s">
        <v>130</v>
      </c>
      <c r="D118" s="34" t="s">
        <v>1</v>
      </c>
      <c r="E118" s="2">
        <f>'Other Costs'!G25</f>
        <v>36</v>
      </c>
      <c r="G118" t="s">
        <v>131</v>
      </c>
      <c r="J118" s="25"/>
      <c r="K118" t="s">
        <v>0</v>
      </c>
    </row>
    <row r="119" spans="1:11" ht="15">
      <c r="A119" t="s">
        <v>0</v>
      </c>
      <c r="D119" s="35" t="s">
        <v>115</v>
      </c>
      <c r="E119" s="20">
        <f>'Other Costs'!G27</f>
        <v>2.5</v>
      </c>
      <c r="F119" s="14"/>
      <c r="G119" s="14" t="s">
        <v>132</v>
      </c>
      <c r="H119" s="14"/>
      <c r="I119" s="14"/>
      <c r="J119" s="25"/>
      <c r="K119" t="s">
        <v>0</v>
      </c>
    </row>
    <row r="120" spans="1:11" ht="15">
      <c r="A120" t="s">
        <v>0</v>
      </c>
      <c r="D120" s="34" t="s">
        <v>119</v>
      </c>
      <c r="E120" s="2">
        <f>ROUND(E118*E119,2)</f>
        <v>90</v>
      </c>
      <c r="G120" t="s">
        <v>120</v>
      </c>
      <c r="J120" s="25"/>
      <c r="K120" t="s">
        <v>0</v>
      </c>
    </row>
    <row r="121" spans="1:11" ht="15">
      <c r="A121" t="s">
        <v>0</v>
      </c>
      <c r="D121" s="34"/>
      <c r="K121" t="s">
        <v>0</v>
      </c>
    </row>
    <row r="122" spans="1:11" ht="15">
      <c r="A122" t="s">
        <v>0</v>
      </c>
      <c r="C122" t="s">
        <v>133</v>
      </c>
      <c r="D122" s="34" t="s">
        <v>1</v>
      </c>
      <c r="E122" s="2">
        <f>'Other Costs'!G26</f>
        <v>0</v>
      </c>
      <c r="G122" t="s">
        <v>325</v>
      </c>
      <c r="J122" s="25"/>
      <c r="K122" t="s">
        <v>0</v>
      </c>
    </row>
    <row r="123" spans="1:11" ht="15">
      <c r="A123" t="s">
        <v>0</v>
      </c>
      <c r="D123" s="35" t="s">
        <v>115</v>
      </c>
      <c r="E123" s="20">
        <f>'Other Costs'!G27</f>
        <v>2.5</v>
      </c>
      <c r="F123" s="14"/>
      <c r="G123" s="14" t="s">
        <v>132</v>
      </c>
      <c r="H123" s="14"/>
      <c r="I123" s="14"/>
      <c r="J123" s="44"/>
      <c r="K123" t="s">
        <v>0</v>
      </c>
    </row>
    <row r="124" spans="1:11" ht="15">
      <c r="A124" t="s">
        <v>0</v>
      </c>
      <c r="D124" s="34" t="s">
        <v>119</v>
      </c>
      <c r="E124" s="2">
        <f>ROUND(E122*E123,2)</f>
        <v>0</v>
      </c>
      <c r="G124" t="s">
        <v>120</v>
      </c>
      <c r="J124" s="25"/>
      <c r="K124" t="s">
        <v>0</v>
      </c>
    </row>
    <row r="125" spans="1:11" ht="15">
      <c r="A125" t="s">
        <v>0</v>
      </c>
      <c r="D125" s="34"/>
      <c r="K125" t="s">
        <v>0</v>
      </c>
    </row>
    <row r="126" spans="1:11" ht="15.75">
      <c r="A126" t="s">
        <v>0</v>
      </c>
      <c r="C126" s="15" t="s">
        <v>134</v>
      </c>
      <c r="D126" s="36" t="s">
        <v>119</v>
      </c>
      <c r="E126" s="18">
        <f>E120+E124</f>
        <v>90</v>
      </c>
      <c r="F126" s="15"/>
      <c r="G126" s="15" t="s">
        <v>120</v>
      </c>
      <c r="H126" s="15"/>
      <c r="I126" s="15"/>
      <c r="J126" s="25"/>
      <c r="K126" t="s">
        <v>0</v>
      </c>
    </row>
    <row r="127" spans="1:11" ht="15">
      <c r="A127" t="s">
        <v>0</v>
      </c>
      <c r="E127" s="2"/>
      <c r="K127" t="s">
        <v>0</v>
      </c>
    </row>
    <row r="128" spans="1:11" ht="15.75">
      <c r="A128" t="s">
        <v>0</v>
      </c>
      <c r="B128" s="15" t="s">
        <v>42</v>
      </c>
      <c r="K128" t="s">
        <v>0</v>
      </c>
    </row>
    <row r="129" spans="1:11" ht="15">
      <c r="A129" t="s">
        <v>0</v>
      </c>
      <c r="E129" s="2">
        <f>'Other Costs'!G31</f>
        <v>19750</v>
      </c>
      <c r="G129" t="s">
        <v>135</v>
      </c>
      <c r="J129" s="25"/>
      <c r="K129" t="s">
        <v>0</v>
      </c>
    </row>
    <row r="130" spans="1:11" ht="15">
      <c r="A130" t="s">
        <v>0</v>
      </c>
      <c r="D130" s="35" t="s">
        <v>117</v>
      </c>
      <c r="E130" s="19">
        <f>Input!G14</f>
        <v>99</v>
      </c>
      <c r="F130" s="14"/>
      <c r="G130" s="14" t="s">
        <v>123</v>
      </c>
      <c r="H130" s="14"/>
      <c r="I130" s="14"/>
      <c r="J130" s="25"/>
      <c r="K130" t="s">
        <v>0</v>
      </c>
    </row>
    <row r="131" spans="1:11" ht="15.75">
      <c r="A131" t="s">
        <v>0</v>
      </c>
      <c r="D131" s="36" t="s">
        <v>119</v>
      </c>
      <c r="E131" s="18">
        <f>ROUND(E129/E130,2)</f>
        <v>199.49</v>
      </c>
      <c r="F131" s="15"/>
      <c r="G131" s="15" t="s">
        <v>120</v>
      </c>
      <c r="H131" s="15"/>
      <c r="I131" s="15"/>
      <c r="J131" s="25"/>
      <c r="K131" t="s">
        <v>0</v>
      </c>
    </row>
    <row r="132" spans="1:11" ht="15">
      <c r="A132" t="s">
        <v>0</v>
      </c>
      <c r="K132" t="s">
        <v>0</v>
      </c>
    </row>
    <row r="133" spans="1:11" ht="15.75">
      <c r="A133" t="s">
        <v>0</v>
      </c>
      <c r="B133" s="15" t="s">
        <v>286</v>
      </c>
      <c r="K133" t="s">
        <v>0</v>
      </c>
    </row>
    <row r="134" spans="1:11" ht="15">
      <c r="A134" t="s">
        <v>0</v>
      </c>
      <c r="E134" s="2">
        <f>'Other Costs'!G34</f>
        <v>2.78</v>
      </c>
      <c r="G134" t="s">
        <v>136</v>
      </c>
      <c r="J134" s="25"/>
      <c r="K134" t="s">
        <v>0</v>
      </c>
    </row>
    <row r="135" spans="1:11" ht="15">
      <c r="A135" t="s">
        <v>0</v>
      </c>
      <c r="D135" s="34" t="s">
        <v>121</v>
      </c>
      <c r="E135" s="70">
        <f>'Other Costs'!G35</f>
        <v>1.28</v>
      </c>
      <c r="G135" t="s">
        <v>137</v>
      </c>
      <c r="J135" s="25"/>
      <c r="K135" t="s">
        <v>0</v>
      </c>
    </row>
    <row r="136" spans="1:11" ht="15">
      <c r="A136" t="s">
        <v>0</v>
      </c>
      <c r="D136" s="34" t="s">
        <v>121</v>
      </c>
      <c r="E136" s="70">
        <f>'Other Costs'!G36</f>
        <v>1.54</v>
      </c>
      <c r="G136" t="s">
        <v>138</v>
      </c>
      <c r="J136" s="25"/>
      <c r="K136" t="s">
        <v>0</v>
      </c>
    </row>
    <row r="137" spans="1:11" ht="15">
      <c r="A137" t="s">
        <v>0</v>
      </c>
      <c r="D137" s="46" t="s">
        <v>121</v>
      </c>
      <c r="E137" s="71">
        <f>'Other Costs'!G37</f>
        <v>0.03</v>
      </c>
      <c r="F137" s="24"/>
      <c r="G137" s="24" t="s">
        <v>139</v>
      </c>
      <c r="H137" s="24"/>
      <c r="I137" s="14"/>
      <c r="J137" s="25"/>
      <c r="K137" t="s">
        <v>0</v>
      </c>
    </row>
    <row r="138" spans="1:11" ht="15">
      <c r="A138" t="s">
        <v>0</v>
      </c>
      <c r="D138" s="34" t="s">
        <v>119</v>
      </c>
      <c r="E138" s="70">
        <f>SUM(E134:E137)</f>
        <v>5.63</v>
      </c>
      <c r="G138" t="s">
        <v>140</v>
      </c>
      <c r="J138" s="25"/>
      <c r="K138" t="s">
        <v>0</v>
      </c>
    </row>
    <row r="139" spans="1:11" ht="15">
      <c r="A139" t="s">
        <v>0</v>
      </c>
      <c r="D139" s="35" t="s">
        <v>115</v>
      </c>
      <c r="E139" s="20">
        <f>Input!G19/100</f>
        <v>98</v>
      </c>
      <c r="F139" s="14"/>
      <c r="G139" s="14" t="s">
        <v>141</v>
      </c>
      <c r="H139" s="14"/>
      <c r="I139" s="14"/>
      <c r="J139" s="25"/>
      <c r="K139" t="s">
        <v>0</v>
      </c>
    </row>
    <row r="140" spans="1:11" ht="15.75">
      <c r="A140" t="s">
        <v>0</v>
      </c>
      <c r="D140" s="36" t="s">
        <v>119</v>
      </c>
      <c r="E140" s="18">
        <f>ROUND(E138*E139,2)</f>
        <v>551.74</v>
      </c>
      <c r="F140" s="15"/>
      <c r="G140" s="15" t="s">
        <v>120</v>
      </c>
      <c r="H140" s="15"/>
      <c r="I140" s="15"/>
      <c r="J140" s="25"/>
      <c r="K140" t="s">
        <v>0</v>
      </c>
    </row>
    <row r="141" spans="1:11" ht="15">
      <c r="A141" t="s">
        <v>0</v>
      </c>
      <c r="K141" t="s">
        <v>0</v>
      </c>
    </row>
    <row r="142" spans="1:11" ht="15.75">
      <c r="A142" t="s">
        <v>0</v>
      </c>
      <c r="B142" s="15" t="s">
        <v>49</v>
      </c>
      <c r="K142" t="s">
        <v>0</v>
      </c>
    </row>
    <row r="143" spans="1:10" s="164" customFormat="1" ht="15" customHeight="1">
      <c r="A143" s="165"/>
      <c r="C143" s="223" t="s">
        <v>464</v>
      </c>
      <c r="D143" s="223"/>
      <c r="E143" s="223"/>
      <c r="F143" s="223"/>
      <c r="G143" s="223"/>
      <c r="H143" s="223"/>
      <c r="I143" s="223"/>
      <c r="J143" s="225"/>
    </row>
    <row r="144" spans="1:10" s="164" customFormat="1" ht="15" customHeight="1">
      <c r="A144" s="165"/>
      <c r="C144" s="223"/>
      <c r="D144" s="223"/>
      <c r="E144" s="223">
        <f>'Other Costs'!G44</f>
        <v>120</v>
      </c>
      <c r="F144" s="223"/>
      <c r="G144" s="223" t="s">
        <v>465</v>
      </c>
      <c r="I144" s="223"/>
      <c r="J144" s="225"/>
    </row>
    <row r="145" spans="1:10" s="164" customFormat="1" ht="15" customHeight="1">
      <c r="A145" s="165"/>
      <c r="C145" s="223"/>
      <c r="D145" s="226" t="s">
        <v>117</v>
      </c>
      <c r="E145" s="227">
        <v>2.5</v>
      </c>
      <c r="F145" s="223"/>
      <c r="G145" s="223" t="s">
        <v>466</v>
      </c>
      <c r="I145" s="223"/>
      <c r="J145" s="225"/>
    </row>
    <row r="146" spans="1:10" s="164" customFormat="1" ht="15" customHeight="1">
      <c r="A146" s="165"/>
      <c r="C146" s="223"/>
      <c r="D146" s="223" t="s">
        <v>115</v>
      </c>
      <c r="E146" s="228">
        <v>0.1665576</v>
      </c>
      <c r="F146" s="223"/>
      <c r="G146" s="223" t="s">
        <v>467</v>
      </c>
      <c r="I146" s="223"/>
      <c r="J146" s="225"/>
    </row>
    <row r="147" spans="1:10" s="164" customFormat="1" ht="15" customHeight="1">
      <c r="A147" s="165"/>
      <c r="C147" s="223"/>
      <c r="D147" s="223" t="s">
        <v>115</v>
      </c>
      <c r="E147" s="232">
        <f>'Other Costs'!G45</f>
        <v>2.25</v>
      </c>
      <c r="F147" s="223"/>
      <c r="G147" s="223" t="s">
        <v>468</v>
      </c>
      <c r="I147" s="223"/>
      <c r="J147" s="225"/>
    </row>
    <row r="148" spans="1:10" s="164" customFormat="1" ht="15" customHeight="1">
      <c r="A148" s="165"/>
      <c r="C148" s="223"/>
      <c r="D148" s="223" t="s">
        <v>115</v>
      </c>
      <c r="E148" s="229">
        <f>'Other Costs'!G42</f>
        <v>0.85</v>
      </c>
      <c r="F148" s="223"/>
      <c r="G148" s="223" t="s">
        <v>469</v>
      </c>
      <c r="I148" s="223"/>
      <c r="J148" s="225"/>
    </row>
    <row r="149" spans="1:10" s="164" customFormat="1" ht="15" customHeight="1">
      <c r="A149" s="165"/>
      <c r="C149" s="223"/>
      <c r="D149" s="230" t="s">
        <v>115</v>
      </c>
      <c r="E149" s="231">
        <v>365</v>
      </c>
      <c r="F149" s="223"/>
      <c r="G149" s="223" t="s">
        <v>470</v>
      </c>
      <c r="I149" s="223"/>
      <c r="J149" s="225"/>
    </row>
    <row r="150" spans="1:10" s="164" customFormat="1" ht="15" customHeight="1">
      <c r="A150" s="165"/>
      <c r="C150" s="223"/>
      <c r="D150" s="223"/>
      <c r="E150" s="229">
        <f>IF(E149="ERROR","ERROR",ROUND(((E144/E145)*E146*E147*E148*E149),2))</f>
        <v>5580.85</v>
      </c>
      <c r="F150" s="223"/>
      <c r="G150" s="223" t="s">
        <v>471</v>
      </c>
      <c r="I150" s="223"/>
      <c r="J150" s="225"/>
    </row>
    <row r="151" spans="1:11" ht="15">
      <c r="A151" t="s">
        <v>0</v>
      </c>
      <c r="D151" s="34" t="s">
        <v>121</v>
      </c>
      <c r="E151" s="2">
        <f>'Other Costs'!G47</f>
        <v>18930</v>
      </c>
      <c r="G151" t="str">
        <f>"building repairs,mtnce "&amp;'Other Costs'!F47*100&amp;"%"</f>
        <v>building repairs,mtnce 1%</v>
      </c>
      <c r="J151" s="25"/>
      <c r="K151" t="s">
        <v>0</v>
      </c>
    </row>
    <row r="152" spans="4:10" ht="15">
      <c r="D152" s="34" t="s">
        <v>121</v>
      </c>
      <c r="E152" s="2">
        <f>'Other Costs'!G48</f>
        <v>4360</v>
      </c>
      <c r="G152" t="str">
        <f>"machinery repairs,mtnce "&amp;'Other Costs'!F48*100&amp;" %"</f>
        <v>machinery repairs,mtnce 2 %</v>
      </c>
      <c r="J152" s="25"/>
    </row>
    <row r="153" spans="1:11" ht="15">
      <c r="A153" t="s">
        <v>0</v>
      </c>
      <c r="D153" s="35" t="s">
        <v>117</v>
      </c>
      <c r="E153" s="14">
        <f>Input!G14</f>
        <v>99</v>
      </c>
      <c r="G153" s="14" t="s">
        <v>123</v>
      </c>
      <c r="H153" s="14"/>
      <c r="J153" s="25"/>
      <c r="K153" t="s">
        <v>0</v>
      </c>
    </row>
    <row r="154" spans="1:11" ht="15.75">
      <c r="A154" t="s">
        <v>0</v>
      </c>
      <c r="D154" s="36" t="s">
        <v>119</v>
      </c>
      <c r="E154" s="18">
        <f>ROUND((E150+E151+E152)/E153,2)</f>
        <v>291.62</v>
      </c>
      <c r="F154" s="15"/>
      <c r="G154" s="15" t="s">
        <v>120</v>
      </c>
      <c r="H154" s="15"/>
      <c r="I154" s="15"/>
      <c r="J154" s="25"/>
      <c r="K154" t="s">
        <v>0</v>
      </c>
    </row>
    <row r="155" spans="1:11" ht="15">
      <c r="A155" t="s">
        <v>0</v>
      </c>
      <c r="D155" s="34"/>
      <c r="E155" s="11"/>
      <c r="K155" t="s">
        <v>0</v>
      </c>
    </row>
    <row r="156" spans="1:11" ht="15.75">
      <c r="A156" t="s">
        <v>0</v>
      </c>
      <c r="B156" s="15" t="s">
        <v>51</v>
      </c>
      <c r="D156" s="34"/>
      <c r="K156" t="s">
        <v>0</v>
      </c>
    </row>
    <row r="157" spans="1:11" ht="15">
      <c r="A157" t="s">
        <v>0</v>
      </c>
      <c r="D157" s="34"/>
      <c r="E157" s="2">
        <f>'Other Costs'!D51*'Other Costs'!G51*Input!G14</f>
        <v>15936.920999999998</v>
      </c>
      <c r="G157" t="s">
        <v>142</v>
      </c>
      <c r="J157" s="25"/>
      <c r="K157" t="s">
        <v>0</v>
      </c>
    </row>
    <row r="158" spans="1:11" ht="15">
      <c r="A158" t="s">
        <v>0</v>
      </c>
      <c r="D158" s="34" t="s">
        <v>121</v>
      </c>
      <c r="E158" s="2">
        <f>'Other Costs'!G52</f>
        <v>1200</v>
      </c>
      <c r="G158" t="s">
        <v>143</v>
      </c>
      <c r="J158" s="25"/>
      <c r="K158" t="s">
        <v>0</v>
      </c>
    </row>
    <row r="159" spans="1:11" ht="15">
      <c r="A159" t="s">
        <v>0</v>
      </c>
      <c r="D159" s="35" t="s">
        <v>117</v>
      </c>
      <c r="E159" s="14">
        <f>Input!G14</f>
        <v>99</v>
      </c>
      <c r="G159" s="14" t="s">
        <v>123</v>
      </c>
      <c r="H159" s="14"/>
      <c r="J159" s="25"/>
      <c r="K159" t="s">
        <v>0</v>
      </c>
    </row>
    <row r="160" spans="1:11" ht="15.75">
      <c r="A160" t="s">
        <v>0</v>
      </c>
      <c r="D160" s="36" t="s">
        <v>119</v>
      </c>
      <c r="E160" s="18">
        <f>ROUND(SUM(E157:E158)/E159,2)</f>
        <v>173.1</v>
      </c>
      <c r="F160" s="15"/>
      <c r="G160" s="15" t="s">
        <v>120</v>
      </c>
      <c r="H160" s="15"/>
      <c r="I160" s="15"/>
      <c r="J160" s="25"/>
      <c r="K160" t="s">
        <v>0</v>
      </c>
    </row>
    <row r="161" spans="1:11" ht="15">
      <c r="A161" t="s">
        <v>0</v>
      </c>
      <c r="E161" s="2"/>
      <c r="K161" t="s">
        <v>0</v>
      </c>
    </row>
    <row r="162" spans="1:11" ht="15.75">
      <c r="A162" t="s">
        <v>0</v>
      </c>
      <c r="B162" s="15" t="s">
        <v>54</v>
      </c>
      <c r="K162" t="s">
        <v>0</v>
      </c>
    </row>
    <row r="163" spans="1:11" ht="15">
      <c r="A163" t="s">
        <v>0</v>
      </c>
      <c r="C163" t="s">
        <v>231</v>
      </c>
      <c r="K163" t="s">
        <v>0</v>
      </c>
    </row>
    <row r="164" spans="1:11" ht="15">
      <c r="A164" t="s">
        <v>0</v>
      </c>
      <c r="D164" s="34"/>
      <c r="E164" s="8">
        <f>'Capital Costs'!G22+'Capital Costs'!G17+'Capital Costs'!G28</f>
        <v>2111000</v>
      </c>
      <c r="G164" t="s">
        <v>144</v>
      </c>
      <c r="J164" s="25"/>
      <c r="K164" t="s">
        <v>0</v>
      </c>
    </row>
    <row r="165" spans="1:11" ht="15">
      <c r="A165" t="s">
        <v>0</v>
      </c>
      <c r="D165" s="34" t="s">
        <v>117</v>
      </c>
      <c r="E165" s="2">
        <v>100</v>
      </c>
      <c r="G165" t="s">
        <v>145</v>
      </c>
      <c r="J165" s="25"/>
      <c r="K165" t="s">
        <v>0</v>
      </c>
    </row>
    <row r="166" spans="1:11" ht="15">
      <c r="A166" t="s">
        <v>0</v>
      </c>
      <c r="D166" s="34" t="s">
        <v>115</v>
      </c>
      <c r="E166" s="2">
        <f>'Other Costs'!G56</f>
        <v>0.7</v>
      </c>
      <c r="G166" t="s">
        <v>146</v>
      </c>
      <c r="J166" s="25"/>
      <c r="K166" t="s">
        <v>0</v>
      </c>
    </row>
    <row r="167" spans="1:11" ht="15">
      <c r="A167" t="s">
        <v>0</v>
      </c>
      <c r="D167" s="47" t="s">
        <v>117</v>
      </c>
      <c r="E167" s="19">
        <f>Input!G14</f>
        <v>99</v>
      </c>
      <c r="F167" s="14"/>
      <c r="G167" s="14" t="s">
        <v>123</v>
      </c>
      <c r="H167" s="14"/>
      <c r="I167" s="14"/>
      <c r="J167" s="25"/>
      <c r="K167" t="s">
        <v>0</v>
      </c>
    </row>
    <row r="168" spans="1:11" ht="15">
      <c r="A168" t="s">
        <v>0</v>
      </c>
      <c r="D168" s="34" t="s">
        <v>119</v>
      </c>
      <c r="E168" s="2">
        <f>ROUND(((E164/E165)*E166)/E167,2)</f>
        <v>149.26</v>
      </c>
      <c r="G168" t="s">
        <v>120</v>
      </c>
      <c r="J168" s="25"/>
      <c r="K168" t="s">
        <v>0</v>
      </c>
    </row>
    <row r="169" spans="1:11" ht="15">
      <c r="A169" t="s">
        <v>0</v>
      </c>
      <c r="C169" t="s">
        <v>232</v>
      </c>
      <c r="D169" s="34"/>
      <c r="K169" t="s">
        <v>0</v>
      </c>
    </row>
    <row r="170" spans="1:11" ht="15">
      <c r="A170" t="s">
        <v>0</v>
      </c>
      <c r="D170" s="34"/>
      <c r="E170" s="8">
        <f>Input!G37</f>
        <v>2500</v>
      </c>
      <c r="G170" t="s">
        <v>147</v>
      </c>
      <c r="J170" s="25"/>
      <c r="K170" t="s">
        <v>0</v>
      </c>
    </row>
    <row r="171" spans="1:11" ht="15">
      <c r="A171" t="s">
        <v>0</v>
      </c>
      <c r="D171" s="34" t="s">
        <v>117</v>
      </c>
      <c r="E171" s="2">
        <v>100</v>
      </c>
      <c r="G171" t="s">
        <v>145</v>
      </c>
      <c r="J171" s="25"/>
      <c r="K171" t="s">
        <v>0</v>
      </c>
    </row>
    <row r="172" spans="1:11" ht="15">
      <c r="A172" t="s">
        <v>0</v>
      </c>
      <c r="D172" s="35" t="s">
        <v>115</v>
      </c>
      <c r="E172" s="17">
        <f>'Other Costs'!G55</f>
        <v>0.7</v>
      </c>
      <c r="F172" s="14"/>
      <c r="G172" s="14" t="s">
        <v>146</v>
      </c>
      <c r="H172" s="14"/>
      <c r="J172" s="25"/>
      <c r="K172" t="s">
        <v>0</v>
      </c>
    </row>
    <row r="173" spans="1:11" ht="15">
      <c r="A173" t="s">
        <v>0</v>
      </c>
      <c r="D173" s="34" t="s">
        <v>119</v>
      </c>
      <c r="E173" s="2">
        <f>ROUND((E170/E171)*E172,2)</f>
        <v>17.5</v>
      </c>
      <c r="G173" t="s">
        <v>120</v>
      </c>
      <c r="J173" s="25"/>
      <c r="K173" t="s">
        <v>0</v>
      </c>
    </row>
    <row r="174" spans="3:10" ht="15">
      <c r="C174" t="s">
        <v>394</v>
      </c>
      <c r="D174" s="34"/>
      <c r="E174" s="2"/>
      <c r="J174" s="26"/>
    </row>
    <row r="175" spans="4:10" ht="15">
      <c r="D175" s="34"/>
      <c r="E175" s="2">
        <v>0.6</v>
      </c>
      <c r="G175" t="s">
        <v>412</v>
      </c>
      <c r="J175" s="25"/>
    </row>
    <row r="176" spans="4:10" ht="15">
      <c r="D176" t="s">
        <v>115</v>
      </c>
      <c r="E176" s="59">
        <f>Input!G19/100</f>
        <v>98</v>
      </c>
      <c r="G176" t="s">
        <v>413</v>
      </c>
      <c r="J176" s="25"/>
    </row>
    <row r="177" spans="4:10" ht="15">
      <c r="D177" t="s">
        <v>117</v>
      </c>
      <c r="E177" s="59">
        <v>100</v>
      </c>
      <c r="G177" t="s">
        <v>145</v>
      </c>
      <c r="J177" s="25"/>
    </row>
    <row r="178" spans="4:10" ht="15">
      <c r="D178" s="50" t="s">
        <v>115</v>
      </c>
      <c r="E178" s="61">
        <f>'Other Costs'!G57</f>
        <v>0.45</v>
      </c>
      <c r="F178" s="50"/>
      <c r="G178" s="50" t="s">
        <v>146</v>
      </c>
      <c r="J178" s="25"/>
    </row>
    <row r="179" spans="4:10" ht="15">
      <c r="D179" t="s">
        <v>119</v>
      </c>
      <c r="E179" s="2">
        <f>ROUND(((E175*E176)/E177)*E178,2)</f>
        <v>0.26</v>
      </c>
      <c r="G179" t="s">
        <v>120</v>
      </c>
      <c r="J179" s="25"/>
    </row>
    <row r="180" spans="1:11" ht="15">
      <c r="A180" t="s">
        <v>0</v>
      </c>
      <c r="C180" t="s">
        <v>233</v>
      </c>
      <c r="D180" s="34"/>
      <c r="K180" t="s">
        <v>0</v>
      </c>
    </row>
    <row r="181" spans="1:11" ht="15">
      <c r="A181" t="s">
        <v>0</v>
      </c>
      <c r="D181" s="34"/>
      <c r="E181" s="2">
        <f>'Other Costs'!G60</f>
        <v>50</v>
      </c>
      <c r="G181" t="s">
        <v>326</v>
      </c>
      <c r="J181" s="25"/>
      <c r="K181" t="s">
        <v>0</v>
      </c>
    </row>
    <row r="182" spans="1:11" ht="15">
      <c r="A182" t="s">
        <v>0</v>
      </c>
      <c r="D182" s="35" t="s">
        <v>117</v>
      </c>
      <c r="E182" s="19">
        <f>Input!G14</f>
        <v>99</v>
      </c>
      <c r="F182" s="14"/>
      <c r="G182" s="14" t="s">
        <v>123</v>
      </c>
      <c r="H182" s="14"/>
      <c r="I182" s="14"/>
      <c r="J182" s="25"/>
      <c r="K182" t="s">
        <v>0</v>
      </c>
    </row>
    <row r="183" spans="1:11" ht="15">
      <c r="A183" t="s">
        <v>0</v>
      </c>
      <c r="D183" s="34" t="s">
        <v>119</v>
      </c>
      <c r="E183" s="2">
        <f>ROUND(E181/E182,2)</f>
        <v>0.51</v>
      </c>
      <c r="G183" t="s">
        <v>120</v>
      </c>
      <c r="J183" s="25"/>
      <c r="K183" t="s">
        <v>0</v>
      </c>
    </row>
    <row r="184" spans="1:11" ht="15">
      <c r="A184" t="s">
        <v>0</v>
      </c>
      <c r="D184" s="34"/>
      <c r="K184" t="s">
        <v>0</v>
      </c>
    </row>
    <row r="185" spans="1:11" ht="15.75">
      <c r="A185" t="s">
        <v>0</v>
      </c>
      <c r="C185" s="15" t="s">
        <v>134</v>
      </c>
      <c r="D185" s="36" t="s">
        <v>119</v>
      </c>
      <c r="E185" s="18">
        <f>E168+E173+E179+E183</f>
        <v>167.52999999999997</v>
      </c>
      <c r="F185" s="15"/>
      <c r="G185" s="15" t="s">
        <v>120</v>
      </c>
      <c r="H185" s="15"/>
      <c r="I185" s="15"/>
      <c r="J185" s="25"/>
      <c r="K185" t="s">
        <v>0</v>
      </c>
    </row>
    <row r="186" spans="1:11" ht="15.75">
      <c r="A186" t="s">
        <v>0</v>
      </c>
      <c r="C186" s="15"/>
      <c r="D186" s="15"/>
      <c r="E186" s="15"/>
      <c r="F186" s="15"/>
      <c r="G186" s="15"/>
      <c r="H186" s="15"/>
      <c r="I186" s="15"/>
      <c r="K186" t="s">
        <v>0</v>
      </c>
    </row>
    <row r="187" spans="1:11" ht="15.75">
      <c r="A187" t="s">
        <v>0</v>
      </c>
      <c r="B187" s="15" t="s">
        <v>59</v>
      </c>
      <c r="E187" s="2"/>
      <c r="K187" t="s">
        <v>0</v>
      </c>
    </row>
    <row r="188" spans="1:11" ht="15">
      <c r="A188" t="s">
        <v>0</v>
      </c>
      <c r="D188" s="34"/>
      <c r="E188" s="2">
        <f>'Other Costs'!G65</f>
        <v>15899.4</v>
      </c>
      <c r="G188" t="s">
        <v>148</v>
      </c>
      <c r="J188" s="25"/>
      <c r="K188" t="s">
        <v>0</v>
      </c>
    </row>
    <row r="189" spans="1:11" ht="15">
      <c r="A189" t="s">
        <v>0</v>
      </c>
      <c r="D189" s="35" t="s">
        <v>117</v>
      </c>
      <c r="E189" s="19">
        <f>Input!G14</f>
        <v>99</v>
      </c>
      <c r="F189" s="14"/>
      <c r="G189" s="14" t="s">
        <v>123</v>
      </c>
      <c r="H189" s="14"/>
      <c r="I189" s="14"/>
      <c r="J189" s="25"/>
      <c r="K189" t="s">
        <v>0</v>
      </c>
    </row>
    <row r="190" spans="1:11" ht="15.75">
      <c r="A190" t="s">
        <v>0</v>
      </c>
      <c r="D190" s="36" t="s">
        <v>119</v>
      </c>
      <c r="E190" s="18">
        <f>ROUND(E188/E189,2)</f>
        <v>160.6</v>
      </c>
      <c r="F190" s="15"/>
      <c r="G190" s="15" t="s">
        <v>120</v>
      </c>
      <c r="H190" s="15"/>
      <c r="I190" s="15"/>
      <c r="J190" s="25"/>
      <c r="K190" t="s">
        <v>0</v>
      </c>
    </row>
    <row r="191" spans="1:11" ht="15">
      <c r="A191" t="s">
        <v>0</v>
      </c>
      <c r="K191" t="s">
        <v>0</v>
      </c>
    </row>
    <row r="192" spans="1:11" ht="15.75">
      <c r="A192" t="s">
        <v>0</v>
      </c>
      <c r="B192" s="15" t="s">
        <v>287</v>
      </c>
      <c r="C192" s="15"/>
      <c r="K192" t="s">
        <v>0</v>
      </c>
    </row>
    <row r="193" spans="1:11" ht="15">
      <c r="A193" t="s">
        <v>0</v>
      </c>
      <c r="C193" t="s">
        <v>198</v>
      </c>
      <c r="D193" s="34"/>
      <c r="E193" s="2">
        <f>Input!G38</f>
        <v>3000</v>
      </c>
      <c r="G193" t="s">
        <v>327</v>
      </c>
      <c r="J193" s="25"/>
      <c r="K193" t="s">
        <v>0</v>
      </c>
    </row>
    <row r="194" spans="1:11" ht="15">
      <c r="A194" t="s">
        <v>0</v>
      </c>
      <c r="D194" s="35" t="s">
        <v>115</v>
      </c>
      <c r="E194" s="14">
        <f>ROUND(Input!$G$33*Input!$G$14,0)</f>
        <v>30</v>
      </c>
      <c r="F194" s="14"/>
      <c r="G194" s="14" t="s">
        <v>199</v>
      </c>
      <c r="H194" s="14"/>
      <c r="I194" s="14"/>
      <c r="J194" s="25"/>
      <c r="K194" t="s">
        <v>0</v>
      </c>
    </row>
    <row r="195" spans="1:11" ht="15">
      <c r="A195" t="s">
        <v>0</v>
      </c>
      <c r="D195" s="34" t="s">
        <v>119</v>
      </c>
      <c r="E195" s="2">
        <f>ROUND(E193*E194,2)</f>
        <v>90000</v>
      </c>
      <c r="G195" t="s">
        <v>200</v>
      </c>
      <c r="J195" s="25"/>
      <c r="K195" t="s">
        <v>0</v>
      </c>
    </row>
    <row r="196" spans="1:11" ht="15">
      <c r="A196" t="s">
        <v>0</v>
      </c>
      <c r="E196" s="2"/>
      <c r="G196" s="12"/>
      <c r="H196" s="12"/>
      <c r="K196" t="s">
        <v>0</v>
      </c>
    </row>
    <row r="197" spans="1:11" ht="15">
      <c r="A197" t="s">
        <v>0</v>
      </c>
      <c r="C197" t="s">
        <v>201</v>
      </c>
      <c r="K197" t="s">
        <v>0</v>
      </c>
    </row>
    <row r="198" spans="1:11" ht="15">
      <c r="A198" t="s">
        <v>0</v>
      </c>
      <c r="E198" s="2">
        <f>Input!G39</f>
        <v>1400</v>
      </c>
      <c r="G198" t="s">
        <v>203</v>
      </c>
      <c r="J198" s="25"/>
      <c r="K198" t="s">
        <v>0</v>
      </c>
    </row>
    <row r="199" spans="1:11" ht="15">
      <c r="A199" t="s">
        <v>0</v>
      </c>
      <c r="D199" s="35" t="s">
        <v>115</v>
      </c>
      <c r="E199" s="43">
        <f>Input!G111</f>
        <v>26</v>
      </c>
      <c r="G199" s="14" t="s">
        <v>202</v>
      </c>
      <c r="H199" s="14"/>
      <c r="J199" s="25"/>
      <c r="K199" t="s">
        <v>0</v>
      </c>
    </row>
    <row r="200" spans="1:11" ht="15">
      <c r="A200" t="s">
        <v>0</v>
      </c>
      <c r="D200" s="34" t="s">
        <v>119</v>
      </c>
      <c r="E200" s="2">
        <f>ROUND(E198*E199,2)</f>
        <v>36400</v>
      </c>
      <c r="G200" t="s">
        <v>149</v>
      </c>
      <c r="J200" s="25"/>
      <c r="K200" t="s">
        <v>0</v>
      </c>
    </row>
    <row r="201" spans="1:11" ht="15">
      <c r="A201" t="s">
        <v>0</v>
      </c>
      <c r="D201" s="34"/>
      <c r="K201" t="s">
        <v>0</v>
      </c>
    </row>
    <row r="202" spans="1:11" ht="15">
      <c r="A202" t="s">
        <v>0</v>
      </c>
      <c r="C202" t="s">
        <v>207</v>
      </c>
      <c r="D202" s="34"/>
      <c r="E202" s="2">
        <f>Input!G41</f>
        <v>50</v>
      </c>
      <c r="G202" t="s">
        <v>328</v>
      </c>
      <c r="J202" s="25"/>
      <c r="K202" t="s">
        <v>0</v>
      </c>
    </row>
    <row r="203" spans="1:11" ht="15">
      <c r="A203" t="s">
        <v>0</v>
      </c>
      <c r="D203" s="35" t="s">
        <v>115</v>
      </c>
      <c r="E203" s="19">
        <f>Input!G106</f>
        <v>47</v>
      </c>
      <c r="G203" s="14" t="s">
        <v>204</v>
      </c>
      <c r="H203" s="14"/>
      <c r="J203" s="25"/>
      <c r="K203" t="s">
        <v>0</v>
      </c>
    </row>
    <row r="204" spans="1:11" ht="15">
      <c r="A204" t="s">
        <v>0</v>
      </c>
      <c r="D204" s="34" t="s">
        <v>119</v>
      </c>
      <c r="E204" s="2">
        <f>ROUND(E202*E203,2)</f>
        <v>2350</v>
      </c>
      <c r="G204" t="s">
        <v>149</v>
      </c>
      <c r="J204" s="25"/>
      <c r="K204" t="s">
        <v>0</v>
      </c>
    </row>
    <row r="205" spans="1:11" ht="15">
      <c r="A205" t="s">
        <v>0</v>
      </c>
      <c r="K205" t="s">
        <v>0</v>
      </c>
    </row>
    <row r="206" spans="1:11" ht="15">
      <c r="A206" t="s">
        <v>0</v>
      </c>
      <c r="C206" t="s">
        <v>208</v>
      </c>
      <c r="D206" s="34"/>
      <c r="E206" s="2">
        <f>Input!G40</f>
        <v>300</v>
      </c>
      <c r="G206" t="s">
        <v>329</v>
      </c>
      <c r="J206" s="25"/>
      <c r="K206" t="s">
        <v>0</v>
      </c>
    </row>
    <row r="207" spans="1:11" ht="15">
      <c r="A207" t="s">
        <v>0</v>
      </c>
      <c r="D207" s="35" t="s">
        <v>115</v>
      </c>
      <c r="E207" s="19">
        <f>Input!F106</f>
        <v>45</v>
      </c>
      <c r="G207" s="14" t="s">
        <v>352</v>
      </c>
      <c r="H207" s="14"/>
      <c r="J207" s="25"/>
    </row>
    <row r="208" spans="1:11" ht="15">
      <c r="A208" t="s">
        <v>0</v>
      </c>
      <c r="D208" s="34" t="s">
        <v>119</v>
      </c>
      <c r="E208" s="2">
        <f>ROUND(E206*E207,2)</f>
        <v>13500</v>
      </c>
      <c r="G208" t="s">
        <v>149</v>
      </c>
      <c r="J208" s="25"/>
      <c r="K208" t="s">
        <v>0</v>
      </c>
    </row>
    <row r="209" spans="1:11" ht="15">
      <c r="A209" t="s">
        <v>0</v>
      </c>
      <c r="D209" s="34"/>
      <c r="K209" t="s">
        <v>0</v>
      </c>
    </row>
    <row r="210" spans="1:11" ht="15">
      <c r="A210" t="s">
        <v>0</v>
      </c>
      <c r="D210" s="34"/>
      <c r="E210" s="2">
        <f>E195</f>
        <v>90000</v>
      </c>
      <c r="G210" t="s">
        <v>205</v>
      </c>
      <c r="J210" s="25"/>
      <c r="K210" t="s">
        <v>0</v>
      </c>
    </row>
    <row r="211" spans="1:11" ht="15">
      <c r="A211" t="s">
        <v>0</v>
      </c>
      <c r="D211" s="35" t="s">
        <v>150</v>
      </c>
      <c r="E211" s="17">
        <f>E200+E204+E208</f>
        <v>52250</v>
      </c>
      <c r="F211" s="14"/>
      <c r="G211" s="14" t="s">
        <v>375</v>
      </c>
      <c r="H211" s="14"/>
      <c r="I211" s="14"/>
      <c r="J211" s="25"/>
      <c r="K211" t="s">
        <v>0</v>
      </c>
    </row>
    <row r="212" spans="1:11" ht="15">
      <c r="A212" t="s">
        <v>0</v>
      </c>
      <c r="D212" s="34" t="s">
        <v>119</v>
      </c>
      <c r="E212" s="2">
        <f>E210-E211</f>
        <v>37750</v>
      </c>
      <c r="G212" t="s">
        <v>151</v>
      </c>
      <c r="J212" s="25"/>
      <c r="K212" t="s">
        <v>0</v>
      </c>
    </row>
    <row r="213" spans="1:11" ht="15">
      <c r="A213" t="s">
        <v>0</v>
      </c>
      <c r="D213" s="35" t="s">
        <v>117</v>
      </c>
      <c r="E213" s="14">
        <f>Input!G14</f>
        <v>99</v>
      </c>
      <c r="F213" s="14"/>
      <c r="G213" s="14" t="s">
        <v>123</v>
      </c>
      <c r="H213" s="14"/>
      <c r="I213" s="14"/>
      <c r="J213" s="25"/>
    </row>
    <row r="214" spans="1:11" ht="15.75">
      <c r="A214" t="s">
        <v>0</v>
      </c>
      <c r="C214" s="15" t="s">
        <v>134</v>
      </c>
      <c r="D214" s="36" t="s">
        <v>119</v>
      </c>
      <c r="E214" s="18">
        <f>ROUND(E212/E213,2)</f>
        <v>381.31</v>
      </c>
      <c r="F214" s="15"/>
      <c r="G214" s="15" t="s">
        <v>120</v>
      </c>
      <c r="H214" s="15"/>
      <c r="I214" s="15"/>
      <c r="J214" s="25"/>
    </row>
    <row r="215" ht="15">
      <c r="A215" t="s">
        <v>0</v>
      </c>
    </row>
    <row r="216" spans="1:2" ht="15.75">
      <c r="A216" t="s">
        <v>0</v>
      </c>
      <c r="B216" s="15" t="s">
        <v>65</v>
      </c>
    </row>
    <row r="217" spans="1:11" ht="15">
      <c r="A217" t="s">
        <v>0</v>
      </c>
      <c r="E217" s="2">
        <f>'Other Costs'!G69</f>
        <v>5000</v>
      </c>
      <c r="G217" t="s">
        <v>152</v>
      </c>
      <c r="J217" s="25"/>
    </row>
    <row r="218" spans="1:11" ht="15">
      <c r="A218" t="s">
        <v>0</v>
      </c>
      <c r="D218" s="35" t="s">
        <v>117</v>
      </c>
      <c r="E218" s="14">
        <f>Input!G14</f>
        <v>99</v>
      </c>
      <c r="F218" s="14"/>
      <c r="G218" s="14" t="s">
        <v>123</v>
      </c>
      <c r="H218" s="14"/>
      <c r="I218" s="14"/>
      <c r="J218" s="25"/>
    </row>
    <row r="219" spans="1:11" ht="15.75">
      <c r="A219" t="s">
        <v>0</v>
      </c>
      <c r="D219" s="36" t="s">
        <v>119</v>
      </c>
      <c r="E219" s="18">
        <f>ROUND(E217/E218,2)</f>
        <v>50.51</v>
      </c>
      <c r="F219" s="15"/>
      <c r="G219" s="15" t="s">
        <v>120</v>
      </c>
      <c r="H219" s="15"/>
      <c r="I219" s="15"/>
      <c r="J219" s="25"/>
    </row>
    <row r="220" spans="1:4" ht="15">
      <c r="A220" t="s">
        <v>0</v>
      </c>
      <c r="D220" s="34"/>
    </row>
    <row r="221" spans="1:11" ht="15.75">
      <c r="A221" t="s">
        <v>0</v>
      </c>
      <c r="B221" s="15" t="s">
        <v>68</v>
      </c>
      <c r="D221" s="34"/>
      <c r="J221" s="25"/>
      <c r="K221" t="s">
        <v>0</v>
      </c>
    </row>
    <row r="222" spans="1:11" ht="15">
      <c r="A222" t="s">
        <v>0</v>
      </c>
      <c r="D222" s="34"/>
      <c r="E222" s="8">
        <f>'Other Costs'!G73</f>
        <v>1600000</v>
      </c>
      <c r="G222" t="s">
        <v>153</v>
      </c>
      <c r="J222" s="25"/>
      <c r="K222" t="s">
        <v>0</v>
      </c>
    </row>
    <row r="223" spans="1:11" ht="15">
      <c r="A223" t="s">
        <v>0</v>
      </c>
      <c r="D223" s="34" t="s">
        <v>115</v>
      </c>
      <c r="E223" s="72">
        <f>'Other Costs'!G74</f>
        <v>0.3</v>
      </c>
      <c r="G223" t="s">
        <v>154</v>
      </c>
      <c r="J223" s="25"/>
      <c r="K223" t="s">
        <v>0</v>
      </c>
    </row>
    <row r="224" spans="1:11" ht="15">
      <c r="A224" t="s">
        <v>0</v>
      </c>
      <c r="D224" s="34" t="s">
        <v>115</v>
      </c>
      <c r="E224" s="13">
        <f>'Other Costs'!G75</f>
        <v>0.031201</v>
      </c>
      <c r="G224" t="s">
        <v>155</v>
      </c>
      <c r="J224" s="25"/>
      <c r="K224" t="s">
        <v>0</v>
      </c>
    </row>
    <row r="225" spans="1:11" ht="15">
      <c r="A225" t="s">
        <v>0</v>
      </c>
      <c r="D225" s="35" t="s">
        <v>117</v>
      </c>
      <c r="E225" s="14">
        <f>Input!G14</f>
        <v>99</v>
      </c>
      <c r="G225" s="14" t="s">
        <v>123</v>
      </c>
      <c r="H225" s="14"/>
      <c r="J225" s="25"/>
      <c r="K225" t="s">
        <v>0</v>
      </c>
    </row>
    <row r="226" spans="1:11" ht="15">
      <c r="A226" t="s">
        <v>0</v>
      </c>
      <c r="D226" s="34" t="s">
        <v>119</v>
      </c>
      <c r="E226" s="2">
        <f>ROUND(((E222*E223)*E224)/E225,2)</f>
        <v>151.28</v>
      </c>
      <c r="G226" t="s">
        <v>120</v>
      </c>
      <c r="J226" s="25"/>
      <c r="K226" t="s">
        <v>0</v>
      </c>
    </row>
    <row r="227" spans="1:11" ht="15">
      <c r="A227" t="s">
        <v>0</v>
      </c>
      <c r="D227" s="34"/>
      <c r="E227" s="8"/>
      <c r="K227" t="s">
        <v>0</v>
      </c>
    </row>
    <row r="228" spans="1:11" ht="15">
      <c r="A228" t="s">
        <v>0</v>
      </c>
      <c r="D228" s="34"/>
      <c r="E228" s="2">
        <f>'Other Costs'!G77</f>
        <v>100000</v>
      </c>
      <c r="G228" t="s">
        <v>156</v>
      </c>
      <c r="J228" s="25"/>
      <c r="K228" t="s">
        <v>0</v>
      </c>
    </row>
    <row r="229" spans="1:11" ht="15">
      <c r="A229" t="s">
        <v>0</v>
      </c>
      <c r="D229" s="34" t="s">
        <v>115</v>
      </c>
      <c r="E229" s="72">
        <f>'Other Costs'!G78</f>
        <v>0.45</v>
      </c>
      <c r="G229" t="s">
        <v>154</v>
      </c>
      <c r="J229" s="25"/>
      <c r="K229" t="s">
        <v>0</v>
      </c>
    </row>
    <row r="230" spans="1:11" ht="15">
      <c r="A230" t="s">
        <v>0</v>
      </c>
      <c r="D230" s="34" t="s">
        <v>115</v>
      </c>
      <c r="E230" s="13">
        <f>'Other Costs'!G79</f>
        <v>0.039151</v>
      </c>
      <c r="G230" t="s">
        <v>155</v>
      </c>
      <c r="J230" s="25"/>
      <c r="K230" t="s">
        <v>0</v>
      </c>
    </row>
    <row r="231" spans="1:11" ht="15">
      <c r="A231" t="s">
        <v>0</v>
      </c>
      <c r="D231" s="35" t="s">
        <v>117</v>
      </c>
      <c r="E231" s="14">
        <f>Input!G14</f>
        <v>99</v>
      </c>
      <c r="G231" s="14" t="s">
        <v>123</v>
      </c>
      <c r="H231" s="14"/>
      <c r="J231" s="25"/>
      <c r="K231" t="s">
        <v>0</v>
      </c>
    </row>
    <row r="232" spans="1:11" ht="15">
      <c r="A232" t="s">
        <v>0</v>
      </c>
      <c r="D232" s="34" t="s">
        <v>119</v>
      </c>
      <c r="E232" s="2">
        <f>ROUND(((E228*E229)*E230)/E231,2)</f>
        <v>17.8</v>
      </c>
      <c r="G232" t="s">
        <v>120</v>
      </c>
      <c r="J232" s="25"/>
      <c r="K232" t="s">
        <v>0</v>
      </c>
    </row>
    <row r="233" spans="1:11" ht="15">
      <c r="A233" t="s">
        <v>0</v>
      </c>
      <c r="D233" s="34"/>
      <c r="K233" t="s">
        <v>0</v>
      </c>
    </row>
    <row r="234" spans="1:11" ht="15.75">
      <c r="A234" t="s">
        <v>0</v>
      </c>
      <c r="C234" s="15" t="s">
        <v>134</v>
      </c>
      <c r="D234" s="36" t="s">
        <v>119</v>
      </c>
      <c r="E234" s="18">
        <f>E226+E232</f>
        <v>169.08</v>
      </c>
      <c r="F234" s="15"/>
      <c r="G234" s="15" t="s">
        <v>120</v>
      </c>
      <c r="H234" s="15"/>
      <c r="I234" s="15"/>
      <c r="J234" s="25"/>
      <c r="K234" t="s">
        <v>0</v>
      </c>
    </row>
    <row r="235" spans="1:11" ht="15">
      <c r="A235" t="s">
        <v>0</v>
      </c>
      <c r="K235" t="s">
        <v>0</v>
      </c>
    </row>
    <row r="236" spans="1:11" ht="15.75">
      <c r="A236" t="s">
        <v>0</v>
      </c>
      <c r="B236" s="15" t="s">
        <v>330</v>
      </c>
      <c r="K236" t="s">
        <v>0</v>
      </c>
    </row>
    <row r="237" ht="15.75">
      <c r="B237" s="15"/>
    </row>
    <row r="238" spans="1:11" ht="15">
      <c r="A238" t="s">
        <v>0</v>
      </c>
      <c r="D238" s="34"/>
      <c r="E238" s="2">
        <f>'Other Costs'!G82</f>
        <v>2600</v>
      </c>
      <c r="G238" t="s">
        <v>157</v>
      </c>
      <c r="J238" s="25"/>
      <c r="K238" t="s">
        <v>0</v>
      </c>
    </row>
    <row r="239" spans="1:11" ht="15">
      <c r="A239" t="s">
        <v>0</v>
      </c>
      <c r="D239" s="35" t="s">
        <v>117</v>
      </c>
      <c r="E239" s="14">
        <f>Input!G14</f>
        <v>99</v>
      </c>
      <c r="G239" s="14" t="s">
        <v>123</v>
      </c>
      <c r="H239" s="14"/>
      <c r="J239" s="25"/>
      <c r="K239" t="s">
        <v>0</v>
      </c>
    </row>
    <row r="240" spans="1:11" ht="15.75">
      <c r="A240" t="s">
        <v>0</v>
      </c>
      <c r="D240" s="36" t="s">
        <v>119</v>
      </c>
      <c r="E240" s="18">
        <f>ROUND(E238/E239,2)</f>
        <v>26.26</v>
      </c>
      <c r="F240" s="15"/>
      <c r="G240" s="15" t="s">
        <v>120</v>
      </c>
      <c r="H240" s="15"/>
      <c r="I240" s="15"/>
      <c r="J240" s="25"/>
      <c r="K240" t="s">
        <v>0</v>
      </c>
    </row>
    <row r="241" spans="1:11" ht="15">
      <c r="A241" t="s">
        <v>0</v>
      </c>
      <c r="K241" t="s">
        <v>0</v>
      </c>
    </row>
    <row r="242" spans="1:11" ht="15.75">
      <c r="A242" t="s">
        <v>0</v>
      </c>
      <c r="B242" s="15" t="s">
        <v>288</v>
      </c>
      <c r="K242" t="s">
        <v>0</v>
      </c>
    </row>
    <row r="243" spans="1:11" ht="15.75">
      <c r="A243" t="s">
        <v>0</v>
      </c>
      <c r="E243" s="15" t="s">
        <v>158</v>
      </c>
      <c r="K243" t="s">
        <v>0</v>
      </c>
    </row>
    <row r="244" spans="1:11" ht="15">
      <c r="A244" t="s">
        <v>0</v>
      </c>
      <c r="K244" t="s">
        <v>0</v>
      </c>
    </row>
    <row r="245" spans="1:11" ht="15">
      <c r="A245" t="s">
        <v>0</v>
      </c>
      <c r="D245" s="34"/>
      <c r="E245" s="2">
        <f>Summary!G30</f>
        <v>5100.9400000000005</v>
      </c>
      <c r="G245" t="s">
        <v>159</v>
      </c>
      <c r="J245" s="25"/>
      <c r="K245" t="s">
        <v>0</v>
      </c>
    </row>
    <row r="246" spans="1:11" ht="15">
      <c r="A246" t="s">
        <v>0</v>
      </c>
      <c r="D246" s="34" t="s">
        <v>117</v>
      </c>
      <c r="E246" s="4">
        <v>12</v>
      </c>
      <c r="G246" t="s">
        <v>160</v>
      </c>
      <c r="J246" s="25"/>
      <c r="K246" t="s">
        <v>0</v>
      </c>
    </row>
    <row r="247" spans="1:11" ht="15">
      <c r="A247" t="s">
        <v>0</v>
      </c>
      <c r="D247" s="34" t="s">
        <v>117</v>
      </c>
      <c r="E247" s="4">
        <v>2</v>
      </c>
      <c r="G247" t="s">
        <v>161</v>
      </c>
      <c r="J247" s="25"/>
      <c r="K247" t="s">
        <v>0</v>
      </c>
    </row>
    <row r="248" spans="1:11" ht="15">
      <c r="A248" t="s">
        <v>0</v>
      </c>
      <c r="D248" s="34" t="s">
        <v>115</v>
      </c>
      <c r="E248" s="79">
        <f>'Other Costs'!G84</f>
        <v>0.045</v>
      </c>
      <c r="F248" s="14"/>
      <c r="G248" s="14" t="s">
        <v>162</v>
      </c>
      <c r="H248" s="14"/>
      <c r="I248" s="14"/>
      <c r="J248" s="25"/>
      <c r="K248" t="s">
        <v>0</v>
      </c>
    </row>
    <row r="249" spans="1:11" ht="15.75">
      <c r="A249" t="s">
        <v>0</v>
      </c>
      <c r="D249" s="36" t="s">
        <v>119</v>
      </c>
      <c r="E249" s="18">
        <f>ROUND(((E245/E246)/E247)*E248,2)</f>
        <v>9.56</v>
      </c>
      <c r="F249" s="15"/>
      <c r="G249" s="15" t="s">
        <v>120</v>
      </c>
      <c r="H249" s="15"/>
      <c r="I249" s="15"/>
      <c r="J249" s="25"/>
      <c r="K249" t="s">
        <v>0</v>
      </c>
    </row>
    <row r="250" spans="1:11" ht="15">
      <c r="A250" t="s">
        <v>0</v>
      </c>
      <c r="K250" t="s">
        <v>0</v>
      </c>
    </row>
    <row r="252" spans="2:10" ht="18" customHeight="1">
      <c r="B252" s="268" t="str">
        <f>"Capital Costs Buildings &amp; Equipment Assumed New for a "&amp;Input!G14&amp;" Cow Herd"</f>
        <v>Capital Costs Buildings &amp; Equipment Assumed New for a 99 Cow Herd</v>
      </c>
      <c r="C252" s="269"/>
      <c r="D252" s="269"/>
      <c r="E252" s="269"/>
      <c r="F252" s="269"/>
      <c r="G252" s="269"/>
      <c r="H252" s="269"/>
      <c r="I252" s="269"/>
      <c r="J252" s="269"/>
    </row>
    <row r="253" spans="2:10" ht="18" customHeight="1">
      <c r="B253" s="76"/>
      <c r="C253" s="32" t="s">
        <v>243</v>
      </c>
      <c r="D253" s="77"/>
      <c r="E253" s="77"/>
      <c r="F253" s="77"/>
      <c r="G253" s="91"/>
      <c r="H253" s="77"/>
      <c r="I253" s="77"/>
      <c r="J253" s="77"/>
    </row>
    <row r="254" spans="1:11" ht="15">
      <c r="A254" t="s">
        <v>0</v>
      </c>
      <c r="C254" s="28" t="str">
        <f>"Land - Assumed 10 acres @ $"&amp;'Capital Costs'!G8/10&amp;"/acre."</f>
        <v>Land - Assumed 10 acres @ $10000/acre.</v>
      </c>
      <c r="J254" s="58">
        <f>'Capital Costs'!G8</f>
        <v>100000</v>
      </c>
      <c r="K254" t="s">
        <v>0</v>
      </c>
    </row>
    <row r="255" ht="15.75">
      <c r="J255" s="64"/>
    </row>
    <row r="256" spans="3:10" ht="15" customHeight="1">
      <c r="C256" s="264" t="s">
        <v>440</v>
      </c>
      <c r="D256" s="272"/>
      <c r="E256" s="272"/>
      <c r="F256" s="272"/>
      <c r="G256" s="272"/>
      <c r="H256" s="272"/>
      <c r="I256" s="272"/>
      <c r="J256" s="102">
        <f>'Capital Costs'!G9</f>
        <v>725000</v>
      </c>
    </row>
    <row r="257" spans="3:10" ht="15" customHeight="1">
      <c r="C257" s="272"/>
      <c r="D257" s="272"/>
      <c r="E257" s="272"/>
      <c r="F257" s="272"/>
      <c r="G257" s="272"/>
      <c r="H257" s="272"/>
      <c r="I257" s="272"/>
      <c r="J257" s="102"/>
    </row>
    <row r="258" spans="3:10" ht="15">
      <c r="C258" s="272"/>
      <c r="D258" s="272"/>
      <c r="E258" s="272"/>
      <c r="F258" s="272"/>
      <c r="G258" s="272"/>
      <c r="H258" s="272"/>
      <c r="I258" s="272"/>
      <c r="J258" s="102"/>
    </row>
    <row r="259" spans="3:10" ht="15">
      <c r="C259" s="62"/>
      <c r="D259" s="62"/>
      <c r="E259" s="62"/>
      <c r="F259" s="62"/>
      <c r="G259" s="62"/>
      <c r="J259" s="102"/>
    </row>
    <row r="260" spans="3:10" ht="15">
      <c r="C260" s="264" t="s">
        <v>376</v>
      </c>
      <c r="D260" s="265"/>
      <c r="E260" s="265"/>
      <c r="F260" s="265"/>
      <c r="G260" s="265"/>
      <c r="H260" s="265"/>
      <c r="I260" s="265"/>
      <c r="J260" s="102">
        <f>'Capital Costs'!G10</f>
        <v>725000</v>
      </c>
    </row>
    <row r="261" spans="3:10" ht="15">
      <c r="C261" s="265"/>
      <c r="D261" s="265"/>
      <c r="E261" s="265"/>
      <c r="F261" s="265"/>
      <c r="G261" s="265"/>
      <c r="H261" s="265"/>
      <c r="I261" s="265"/>
      <c r="J261" s="102"/>
    </row>
    <row r="262" spans="3:10" ht="15">
      <c r="C262" s="265"/>
      <c r="D262" s="265"/>
      <c r="E262" s="265"/>
      <c r="F262" s="265"/>
      <c r="G262" s="265"/>
      <c r="H262" s="265"/>
      <c r="I262" s="265"/>
      <c r="J262" s="102"/>
    </row>
    <row r="263" spans="3:10" ht="15">
      <c r="C263" s="265"/>
      <c r="D263" s="265"/>
      <c r="E263" s="265"/>
      <c r="F263" s="265"/>
      <c r="G263" s="265"/>
      <c r="H263" s="265"/>
      <c r="I263" s="265"/>
      <c r="J263" s="102"/>
    </row>
    <row r="264" ht="15">
      <c r="J264" s="102"/>
    </row>
    <row r="265" spans="3:10" ht="15">
      <c r="C265" s="264" t="s">
        <v>378</v>
      </c>
      <c r="D265" s="265"/>
      <c r="E265" s="265"/>
      <c r="F265" s="265"/>
      <c r="G265" s="265"/>
      <c r="H265" s="265"/>
      <c r="I265" s="265"/>
      <c r="J265" s="102">
        <f>'Capital Costs'!G11</f>
        <v>50000</v>
      </c>
    </row>
    <row r="266" spans="3:10" ht="15">
      <c r="C266" s="265"/>
      <c r="D266" s="265"/>
      <c r="E266" s="265"/>
      <c r="F266" s="265"/>
      <c r="G266" s="265"/>
      <c r="H266" s="265"/>
      <c r="I266" s="265"/>
      <c r="J266" s="102"/>
    </row>
    <row r="267" spans="3:10" ht="15">
      <c r="C267" s="265"/>
      <c r="D267" s="265"/>
      <c r="E267" s="265"/>
      <c r="F267" s="265"/>
      <c r="G267" s="265"/>
      <c r="H267" s="265"/>
      <c r="I267" s="265"/>
      <c r="J267" s="102"/>
    </row>
    <row r="268" ht="15">
      <c r="J268" s="102"/>
    </row>
    <row r="269" spans="3:10" ht="15">
      <c r="C269" s="150" t="s">
        <v>417</v>
      </c>
      <c r="D269" s="62"/>
      <c r="E269" s="62"/>
      <c r="F269" s="62"/>
      <c r="G269" s="62"/>
      <c r="J269" s="102">
        <f>'Capital Costs'!G12</f>
        <v>175000</v>
      </c>
    </row>
    <row r="270" spans="3:10" ht="15">
      <c r="C270" s="150" t="s">
        <v>418</v>
      </c>
      <c r="D270" s="62"/>
      <c r="E270" s="62"/>
      <c r="F270" s="62"/>
      <c r="G270" s="62"/>
      <c r="J270" s="102">
        <f>'Capital Costs'!G13</f>
        <v>50000</v>
      </c>
    </row>
    <row r="271" spans="3:10" ht="15">
      <c r="C271" s="28" t="s">
        <v>419</v>
      </c>
      <c r="J271" s="102">
        <f>'Capital Costs'!G14</f>
        <v>30000</v>
      </c>
    </row>
    <row r="272" spans="3:10" ht="15">
      <c r="C272" s="28" t="s">
        <v>420</v>
      </c>
      <c r="J272" s="102">
        <f>'Capital Costs'!G15</f>
        <v>18000</v>
      </c>
    </row>
    <row r="273" spans="3:10" ht="15">
      <c r="C273" s="28" t="s">
        <v>241</v>
      </c>
      <c r="J273" s="148">
        <f>'Capital Costs'!G16</f>
        <v>20000</v>
      </c>
    </row>
    <row r="274" spans="3:10" ht="15.75">
      <c r="C274" s="33" t="s">
        <v>416</v>
      </c>
      <c r="D274" s="33"/>
      <c r="E274" s="33"/>
      <c r="F274" s="33"/>
      <c r="J274" s="125">
        <f>SUM(J254:J273)</f>
        <v>1893000</v>
      </c>
    </row>
    <row r="276" spans="3:7" ht="15.75">
      <c r="C276" s="32" t="s">
        <v>77</v>
      </c>
    </row>
    <row r="277" spans="3:10" ht="15">
      <c r="C277" s="28" t="str">
        <f>'Capital Costs'!B20</f>
        <v>Portable Mixer Wagon</v>
      </c>
      <c r="J277" s="149">
        <f>'Capital Costs'!G20</f>
        <v>42000</v>
      </c>
    </row>
    <row r="278" spans="3:10" ht="15">
      <c r="C278" s="28" t="s">
        <v>244</v>
      </c>
      <c r="J278" s="148">
        <f>'Capital Costs'!G21</f>
        <v>10000</v>
      </c>
    </row>
    <row r="279" spans="3:10" ht="15.75">
      <c r="C279" s="33" t="s">
        <v>353</v>
      </c>
      <c r="D279" s="33"/>
      <c r="E279" s="33"/>
      <c r="F279" s="33"/>
      <c r="J279" s="125">
        <f>SUM(J277:J278)</f>
        <v>52000</v>
      </c>
    </row>
    <row r="281" spans="3:10" ht="15.75">
      <c r="C281" s="32" t="s">
        <v>228</v>
      </c>
    </row>
    <row r="282" spans="3:10" ht="15">
      <c r="C282" s="131" t="str">
        <f>'Capital Costs'!B25</f>
        <v>Other equipment (shredder)</v>
      </c>
      <c r="J282" s="102">
        <f>'Capital Costs'!G25</f>
        <v>22000</v>
      </c>
    </row>
    <row r="283" spans="3:10" ht="15">
      <c r="C283" s="131" t="str">
        <f>'Capital Costs'!B26</f>
        <v>Truck  (dairy portion $60,000 @80%)</v>
      </c>
      <c r="J283" s="102">
        <f>'Capital Costs'!G26</f>
        <v>48000</v>
      </c>
    </row>
    <row r="284" spans="3:10" ht="15">
      <c r="C284" s="131" t="str">
        <f>'Capital Costs'!B27</f>
        <v>Tractor &amp; Loader  (dairy portion $120,000 @80%)</v>
      </c>
      <c r="J284" s="148">
        <f>'Capital Costs'!G27</f>
        <v>96000</v>
      </c>
    </row>
    <row r="285" spans="3:10" ht="15.75">
      <c r="C285" s="33" t="s">
        <v>354</v>
      </c>
      <c r="D285" s="33"/>
      <c r="E285" s="33"/>
      <c r="F285" s="33"/>
      <c r="J285" s="125">
        <f>SUM(J283:J284)</f>
        <v>144000</v>
      </c>
    </row>
    <row r="287" spans="3:10" ht="15.75">
      <c r="C287" s="33" t="s">
        <v>236</v>
      </c>
      <c r="J287" s="42">
        <f>J274+J279+J285</f>
        <v>2089000</v>
      </c>
    </row>
    <row r="289" spans="3:10" ht="15.75">
      <c r="C289" s="33" t="s">
        <v>304</v>
      </c>
      <c r="J289" s="42">
        <f>Input!G14*Input!G37</f>
        <v>247500</v>
      </c>
    </row>
    <row r="290" spans="3:10" ht="15.75">
      <c r="C290" s="33"/>
      <c r="J290" s="42"/>
    </row>
    <row r="291" spans="3:10" ht="15.75">
      <c r="C291" s="33" t="s">
        <v>237</v>
      </c>
      <c r="J291" s="51">
        <f>J274+J279+J285+J289</f>
        <v>2336500</v>
      </c>
    </row>
    <row r="293" spans="1:11" ht="15.75">
      <c r="A293" t="s">
        <v>0</v>
      </c>
      <c r="B293" s="15" t="s">
        <v>163</v>
      </c>
      <c r="K293" t="s">
        <v>0</v>
      </c>
    </row>
    <row r="294" spans="1:11" ht="15">
      <c r="A294" t="s">
        <v>0</v>
      </c>
      <c r="K294" t="s">
        <v>0</v>
      </c>
    </row>
    <row r="295" spans="1:11" ht="15.75">
      <c r="A295" t="s">
        <v>0</v>
      </c>
      <c r="B295" s="15" t="s">
        <v>164</v>
      </c>
      <c r="K295" t="s">
        <v>0</v>
      </c>
    </row>
    <row r="296" spans="1:11" ht="15">
      <c r="A296" t="s">
        <v>0</v>
      </c>
      <c r="D296" s="21" t="s">
        <v>165</v>
      </c>
      <c r="K296" t="s">
        <v>0</v>
      </c>
    </row>
    <row r="297" spans="1:11" ht="15">
      <c r="A297" t="s">
        <v>0</v>
      </c>
      <c r="D297" s="22" t="s">
        <v>166</v>
      </c>
      <c r="E297" s="22"/>
      <c r="K297" t="s">
        <v>0</v>
      </c>
    </row>
    <row r="298" spans="1:11" ht="15">
      <c r="A298" t="s">
        <v>0</v>
      </c>
      <c r="K298" t="s">
        <v>0</v>
      </c>
    </row>
    <row r="299" spans="1:11" ht="15.75">
      <c r="A299" t="s">
        <v>0</v>
      </c>
      <c r="B299" s="15" t="s">
        <v>289</v>
      </c>
      <c r="K299" t="s">
        <v>0</v>
      </c>
    </row>
    <row r="300" spans="1:11" ht="15">
      <c r="A300" t="s">
        <v>0</v>
      </c>
      <c r="C300" t="s">
        <v>229</v>
      </c>
      <c r="D300" s="34"/>
      <c r="E300" s="58">
        <f>'Capital Costs'!$G$9</f>
        <v>725000</v>
      </c>
      <c r="G300" t="s">
        <v>167</v>
      </c>
      <c r="J300" s="25"/>
      <c r="K300" t="s">
        <v>0</v>
      </c>
    </row>
    <row r="301" spans="1:11" ht="15">
      <c r="A301" t="s">
        <v>0</v>
      </c>
      <c r="D301" s="34" t="s">
        <v>150</v>
      </c>
      <c r="E301" s="58">
        <f>'Capital Costs'!$H$9*'Capital Costs'!$G$9</f>
        <v>72500</v>
      </c>
      <c r="G301" t="s">
        <v>168</v>
      </c>
      <c r="J301" s="25"/>
      <c r="K301" t="s">
        <v>0</v>
      </c>
    </row>
    <row r="302" spans="4:11" ht="15">
      <c r="D302" s="34" t="s">
        <v>117</v>
      </c>
      <c r="E302" s="4">
        <f>'Capital Costs'!I9</f>
        <v>20</v>
      </c>
      <c r="G302" t="s">
        <v>169</v>
      </c>
      <c r="J302" s="25"/>
    </row>
    <row r="303" spans="4:11" ht="15">
      <c r="D303" s="35" t="s">
        <v>117</v>
      </c>
      <c r="E303" s="19">
        <f>Input!$G$14</f>
        <v>99</v>
      </c>
      <c r="F303" s="14"/>
      <c r="G303" s="14" t="s">
        <v>170</v>
      </c>
      <c r="H303" s="14"/>
      <c r="I303" s="14"/>
      <c r="J303" s="25"/>
    </row>
    <row r="304" spans="4:11" ht="15">
      <c r="D304" s="45" t="s">
        <v>119</v>
      </c>
      <c r="E304" s="2">
        <f>ROUND(((E300-E301)/E302)/E303,2)</f>
        <v>329.55</v>
      </c>
      <c r="F304" s="2"/>
      <c r="G304" s="2" t="s">
        <v>120</v>
      </c>
      <c r="H304" s="2"/>
      <c r="I304" s="2"/>
      <c r="J304" s="25"/>
    </row>
    <row r="305" spans="1:11" ht="15">
      <c r="A305" t="s">
        <v>0</v>
      </c>
      <c r="D305" s="34"/>
      <c r="K305" t="s">
        <v>0</v>
      </c>
    </row>
    <row r="306" spans="3:11" ht="15">
      <c r="C306" t="s">
        <v>271</v>
      </c>
      <c r="D306" s="34"/>
      <c r="E306" s="58">
        <f>'Capital Costs'!$G$10</f>
        <v>725000</v>
      </c>
      <c r="G306" t="s">
        <v>167</v>
      </c>
      <c r="J306" s="25"/>
    </row>
    <row r="307" spans="1:11" ht="15">
      <c r="A307" t="s">
        <v>0</v>
      </c>
      <c r="D307" s="34" t="s">
        <v>150</v>
      </c>
      <c r="E307" s="58">
        <f>'Capital Costs'!$H$10*'Capital Costs'!$G$10</f>
        <v>72500</v>
      </c>
      <c r="G307" t="s">
        <v>168</v>
      </c>
      <c r="J307" s="25"/>
    </row>
    <row r="308" spans="1:11" ht="15">
      <c r="A308" t="s">
        <v>0</v>
      </c>
      <c r="D308" s="34" t="s">
        <v>117</v>
      </c>
      <c r="E308" s="4">
        <f>'Capital Costs'!I10</f>
        <v>20</v>
      </c>
      <c r="G308" t="s">
        <v>169</v>
      </c>
      <c r="J308" s="25"/>
    </row>
    <row r="309" spans="1:11" ht="15">
      <c r="A309" t="s">
        <v>0</v>
      </c>
      <c r="D309" s="35" t="s">
        <v>117</v>
      </c>
      <c r="E309" s="19">
        <f>Input!$G$14</f>
        <v>99</v>
      </c>
      <c r="F309" s="14"/>
      <c r="G309" s="14" t="s">
        <v>170</v>
      </c>
      <c r="H309" s="14"/>
      <c r="I309" s="14"/>
      <c r="J309" s="25"/>
    </row>
    <row r="310" spans="1:11" ht="15">
      <c r="A310" t="s">
        <v>0</v>
      </c>
      <c r="D310" s="34" t="s">
        <v>119</v>
      </c>
      <c r="E310" s="2">
        <f>ROUND(((E306-E307)/E308)/E309,2)</f>
        <v>329.55</v>
      </c>
      <c r="G310" t="s">
        <v>120</v>
      </c>
      <c r="J310" s="25"/>
    </row>
    <row r="312" ht="15">
      <c r="C312" t="s">
        <v>402</v>
      </c>
    </row>
    <row r="313" spans="5:10" ht="15">
      <c r="E313" s="58">
        <f>'Capital Costs'!G11</f>
        <v>50000</v>
      </c>
      <c r="G313" t="s">
        <v>167</v>
      </c>
      <c r="J313" s="25"/>
    </row>
    <row r="314" spans="4:10" ht="15">
      <c r="D314" s="34" t="s">
        <v>150</v>
      </c>
      <c r="E314" s="58">
        <f>'Capital Costs'!$G$11*'Capital Costs'!$H$11</f>
        <v>5000</v>
      </c>
      <c r="G314" t="s">
        <v>168</v>
      </c>
      <c r="J314" s="25"/>
    </row>
    <row r="315" spans="4:10" ht="15">
      <c r="D315" s="34" t="s">
        <v>117</v>
      </c>
      <c r="E315">
        <f>'Capital Costs'!I11</f>
        <v>20</v>
      </c>
      <c r="G315" t="s">
        <v>169</v>
      </c>
      <c r="J315" s="25"/>
    </row>
    <row r="316" spans="4:10" ht="15">
      <c r="D316" s="35" t="s">
        <v>117</v>
      </c>
      <c r="E316" s="43">
        <f>Input!G14</f>
        <v>99</v>
      </c>
      <c r="G316" s="14" t="s">
        <v>170</v>
      </c>
      <c r="J316" s="25"/>
    </row>
    <row r="317" spans="4:10" ht="15">
      <c r="D317" s="34" t="s">
        <v>119</v>
      </c>
      <c r="E317" s="2">
        <f>ROUND(((E313-E314)/E315)/E316,2)</f>
        <v>22.73</v>
      </c>
      <c r="G317" t="s">
        <v>120</v>
      </c>
      <c r="J317" s="25"/>
    </row>
    <row r="319" spans="3:10" ht="15">
      <c r="C319" t="s">
        <v>171</v>
      </c>
      <c r="E319" s="58">
        <f>'Capital Costs'!G12</f>
        <v>175000</v>
      </c>
      <c r="G319" t="s">
        <v>167</v>
      </c>
      <c r="J319" s="25"/>
    </row>
    <row r="320" spans="4:10" ht="15">
      <c r="D320" s="34" t="s">
        <v>150</v>
      </c>
      <c r="E320" s="2">
        <f>'Capital Costs'!$H$12*'Capital Costs'!$G$12</f>
        <v>0</v>
      </c>
      <c r="G320" t="s">
        <v>168</v>
      </c>
      <c r="J320" s="25"/>
    </row>
    <row r="321" spans="4:10" ht="15">
      <c r="D321" s="34" t="s">
        <v>117</v>
      </c>
      <c r="E321" s="4">
        <f>'Capital Costs'!I12</f>
        <v>25</v>
      </c>
      <c r="G321" t="s">
        <v>169</v>
      </c>
      <c r="J321" s="25"/>
    </row>
    <row r="322" spans="4:10" ht="15">
      <c r="D322" s="35" t="s">
        <v>117</v>
      </c>
      <c r="E322" s="19">
        <f>Input!$G$14</f>
        <v>99</v>
      </c>
      <c r="G322" s="14" t="s">
        <v>170</v>
      </c>
      <c r="J322" s="25"/>
    </row>
    <row r="323" spans="4:10" ht="15">
      <c r="D323" s="34" t="s">
        <v>119</v>
      </c>
      <c r="E323" s="2">
        <f>ROUND(((E319-E320)/E321)/E322,2)</f>
        <v>70.71</v>
      </c>
      <c r="G323" t="s">
        <v>120</v>
      </c>
      <c r="J323" s="25"/>
    </row>
    <row r="324" ht="15">
      <c r="D324" s="34"/>
    </row>
    <row r="325" spans="1:11" ht="15">
      <c r="A325" t="s">
        <v>0</v>
      </c>
      <c r="B325" t="s">
        <v>172</v>
      </c>
      <c r="C325" t="s">
        <v>173</v>
      </c>
      <c r="D325" s="34"/>
      <c r="E325" s="58">
        <f>'Capital Costs'!G13</f>
        <v>50000</v>
      </c>
      <c r="G325" t="s">
        <v>167</v>
      </c>
      <c r="J325" s="25"/>
      <c r="K325" t="s">
        <v>0</v>
      </c>
    </row>
    <row r="326" spans="1:11" ht="15">
      <c r="A326" t="s">
        <v>0</v>
      </c>
      <c r="D326" s="34" t="s">
        <v>150</v>
      </c>
      <c r="E326" s="58">
        <f>'Capital Costs'!$H$13*'Capital Costs'!$G$13</f>
        <v>5000</v>
      </c>
      <c r="G326" t="s">
        <v>168</v>
      </c>
      <c r="J326" s="25"/>
      <c r="K326" t="s">
        <v>0</v>
      </c>
    </row>
    <row r="327" spans="1:11" ht="15">
      <c r="A327" t="s">
        <v>0</v>
      </c>
      <c r="D327" s="34" t="s">
        <v>117</v>
      </c>
      <c r="E327" s="4">
        <f>'Capital Costs'!I13</f>
        <v>15</v>
      </c>
      <c r="G327" t="s">
        <v>169</v>
      </c>
      <c r="J327" s="25"/>
      <c r="K327" t="s">
        <v>0</v>
      </c>
    </row>
    <row r="328" spans="1:11" ht="15">
      <c r="A328" t="s">
        <v>0</v>
      </c>
      <c r="D328" s="35" t="s">
        <v>117</v>
      </c>
      <c r="E328" s="19">
        <f>Input!$G$14</f>
        <v>99</v>
      </c>
      <c r="F328" s="14"/>
      <c r="G328" s="14" t="s">
        <v>170</v>
      </c>
      <c r="H328" s="14"/>
      <c r="I328" s="14"/>
      <c r="J328" s="25"/>
      <c r="K328" t="s">
        <v>0</v>
      </c>
    </row>
    <row r="329" spans="1:11" ht="15">
      <c r="A329" t="s">
        <v>0</v>
      </c>
      <c r="D329" s="34" t="s">
        <v>119</v>
      </c>
      <c r="E329" s="2">
        <f>ROUND(((E325-E326)/E327)/E328,2)</f>
        <v>30.3</v>
      </c>
      <c r="G329" t="s">
        <v>120</v>
      </c>
      <c r="J329" s="25"/>
      <c r="K329" t="s">
        <v>0</v>
      </c>
    </row>
    <row r="330" spans="1:11" ht="15">
      <c r="A330" t="s">
        <v>0</v>
      </c>
      <c r="K330" t="s">
        <v>0</v>
      </c>
    </row>
    <row r="331" spans="3:11" ht="15">
      <c r="C331" t="s">
        <v>174</v>
      </c>
      <c r="E331" s="58">
        <f>'Capital Costs'!G14</f>
        <v>30000</v>
      </c>
      <c r="G331" t="s">
        <v>167</v>
      </c>
      <c r="H331" s="10"/>
      <c r="J331" s="25"/>
    </row>
    <row r="332" spans="4:11" ht="15">
      <c r="D332" s="34" t="s">
        <v>150</v>
      </c>
      <c r="E332" s="2">
        <f>'Capital Costs'!$H$14*'Capital Costs'!$G$14</f>
        <v>0</v>
      </c>
      <c r="G332" t="s">
        <v>168</v>
      </c>
      <c r="H332" s="10"/>
      <c r="J332" s="25"/>
    </row>
    <row r="333" spans="4:11" ht="15">
      <c r="D333" s="34" t="s">
        <v>117</v>
      </c>
      <c r="E333">
        <f>'Capital Costs'!I14</f>
        <v>20</v>
      </c>
      <c r="G333" t="s">
        <v>169</v>
      </c>
      <c r="H333" s="10"/>
      <c r="J333" s="25"/>
    </row>
    <row r="334" spans="4:11" ht="15">
      <c r="D334" s="35" t="s">
        <v>117</v>
      </c>
      <c r="E334" s="19">
        <f>Input!$G$14</f>
        <v>99</v>
      </c>
      <c r="G334" s="14" t="s">
        <v>170</v>
      </c>
      <c r="H334" s="10"/>
      <c r="J334" s="25"/>
    </row>
    <row r="335" spans="4:11" ht="15">
      <c r="D335" s="34" t="s">
        <v>119</v>
      </c>
      <c r="E335" s="2">
        <f>ROUND(((E331-E332)/E333)/E334,2)</f>
        <v>15.15</v>
      </c>
      <c r="G335" t="s">
        <v>120</v>
      </c>
      <c r="H335" s="10"/>
      <c r="J335" s="25"/>
    </row>
    <row r="336" ht="15">
      <c r="H336" s="10"/>
    </row>
    <row r="337" spans="3:11" ht="15">
      <c r="C337" t="s">
        <v>175</v>
      </c>
      <c r="E337" s="58">
        <f>'Capital Costs'!G15</f>
        <v>18000</v>
      </c>
      <c r="G337" t="s">
        <v>167</v>
      </c>
      <c r="H337" s="10"/>
      <c r="J337" s="25"/>
    </row>
    <row r="338" spans="4:11" ht="15">
      <c r="D338" s="34" t="s">
        <v>150</v>
      </c>
      <c r="E338" s="58">
        <f>'Capital Costs'!$H$15*'Capital Costs'!$G$15</f>
        <v>1800</v>
      </c>
      <c r="G338" t="s">
        <v>168</v>
      </c>
      <c r="H338" s="10"/>
      <c r="J338" s="25"/>
    </row>
    <row r="339" spans="4:11" ht="15">
      <c r="D339" s="34" t="s">
        <v>117</v>
      </c>
      <c r="E339">
        <f>'Capital Costs'!I15</f>
        <v>20</v>
      </c>
      <c r="G339" t="s">
        <v>169</v>
      </c>
      <c r="H339" s="10"/>
      <c r="J339" s="25"/>
    </row>
    <row r="340" spans="4:11" ht="15">
      <c r="D340" s="35" t="s">
        <v>117</v>
      </c>
      <c r="E340" s="19">
        <f>Input!$G$14</f>
        <v>99</v>
      </c>
      <c r="G340" s="14" t="s">
        <v>170</v>
      </c>
      <c r="H340" s="10"/>
      <c r="J340" s="25"/>
    </row>
    <row r="341" spans="4:11" ht="15">
      <c r="D341" s="34" t="s">
        <v>119</v>
      </c>
      <c r="E341" s="2">
        <f>ROUND(((E337-E338)/E339)/E340,2)</f>
        <v>8.18</v>
      </c>
      <c r="G341" t="s">
        <v>120</v>
      </c>
      <c r="H341" s="10"/>
      <c r="J341" s="25"/>
    </row>
    <row r="342" ht="15">
      <c r="H342" s="10"/>
    </row>
    <row r="343" spans="3:10" ht="15">
      <c r="C343" t="s">
        <v>176</v>
      </c>
      <c r="E343" s="58">
        <f>'Capital Costs'!G16</f>
        <v>20000</v>
      </c>
      <c r="G343" t="s">
        <v>167</v>
      </c>
      <c r="H343" s="10"/>
      <c r="J343" s="25"/>
    </row>
    <row r="344" spans="4:10" ht="15">
      <c r="D344" s="34" t="s">
        <v>150</v>
      </c>
      <c r="E344" s="58">
        <f>'Capital Costs'!$H$16*'Capital Costs'!$G$16</f>
        <v>2000</v>
      </c>
      <c r="G344" t="s">
        <v>168</v>
      </c>
      <c r="H344" s="10"/>
      <c r="J344" s="25"/>
    </row>
    <row r="345" spans="4:10" ht="15">
      <c r="D345" s="34" t="s">
        <v>117</v>
      </c>
      <c r="E345">
        <f>'Capital Costs'!I16</f>
        <v>20</v>
      </c>
      <c r="G345" t="s">
        <v>169</v>
      </c>
      <c r="H345" s="10"/>
      <c r="J345" s="25"/>
    </row>
    <row r="346" spans="4:10" ht="15">
      <c r="D346" s="35" t="s">
        <v>117</v>
      </c>
      <c r="E346" s="19">
        <f>Input!$G$14</f>
        <v>99</v>
      </c>
      <c r="G346" s="14" t="s">
        <v>170</v>
      </c>
      <c r="H346" s="10"/>
      <c r="J346" s="25"/>
    </row>
    <row r="347" spans="4:10" ht="15">
      <c r="D347" s="34" t="s">
        <v>119</v>
      </c>
      <c r="E347" s="2">
        <f>ROUND(((E343-E344)/E345)/E346,2)</f>
        <v>9.09</v>
      </c>
      <c r="G347" t="s">
        <v>120</v>
      </c>
      <c r="H347" s="10"/>
      <c r="J347" s="25"/>
    </row>
    <row r="348" ht="15">
      <c r="H348" s="10"/>
    </row>
    <row r="349" spans="1:11" ht="15.75">
      <c r="A349" t="s">
        <v>0</v>
      </c>
      <c r="C349" s="15" t="s">
        <v>134</v>
      </c>
      <c r="D349" s="15" t="s">
        <v>119</v>
      </c>
      <c r="E349" s="18">
        <f>E304+E310+E317+E323+E329+E335+E341+E347</f>
        <v>815.26</v>
      </c>
      <c r="F349" s="15"/>
      <c r="G349" s="15" t="s">
        <v>120</v>
      </c>
      <c r="H349" s="15"/>
      <c r="I349" s="15"/>
      <c r="J349" s="25"/>
      <c r="K349" t="s">
        <v>0</v>
      </c>
    </row>
    <row r="350" spans="1:11" ht="15">
      <c r="A350" t="s">
        <v>0</v>
      </c>
      <c r="K350" t="s">
        <v>0</v>
      </c>
    </row>
    <row r="351" spans="1:11" ht="15.75">
      <c r="A351" t="s">
        <v>0</v>
      </c>
      <c r="B351" s="15" t="s">
        <v>290</v>
      </c>
      <c r="K351" t="s">
        <v>0</v>
      </c>
    </row>
    <row r="352" spans="1:11" ht="15">
      <c r="A352" t="s">
        <v>0</v>
      </c>
      <c r="C352" t="s">
        <v>177</v>
      </c>
      <c r="D352" s="34"/>
      <c r="E352" s="58">
        <f>'Capital Costs'!$G$22</f>
        <v>52000</v>
      </c>
      <c r="G352" t="s">
        <v>167</v>
      </c>
      <c r="J352" s="25"/>
      <c r="K352" t="s">
        <v>0</v>
      </c>
    </row>
    <row r="353" spans="1:11" ht="15">
      <c r="A353" t="s">
        <v>0</v>
      </c>
      <c r="D353" s="34" t="s">
        <v>150</v>
      </c>
      <c r="E353" s="58">
        <f>'Capital Costs'!$G$22*'Capital Costs'!$H$22</f>
        <v>5200</v>
      </c>
      <c r="G353" t="s">
        <v>168</v>
      </c>
      <c r="J353" s="25"/>
      <c r="K353" t="s">
        <v>0</v>
      </c>
    </row>
    <row r="354" spans="1:11" ht="15">
      <c r="A354" t="s">
        <v>0</v>
      </c>
      <c r="D354" s="34" t="s">
        <v>117</v>
      </c>
      <c r="E354">
        <f>'Capital Costs'!I22</f>
        <v>15</v>
      </c>
      <c r="G354" t="s">
        <v>169</v>
      </c>
      <c r="J354" s="25"/>
      <c r="K354" t="s">
        <v>0</v>
      </c>
    </row>
    <row r="355" spans="1:11" ht="15">
      <c r="A355" t="s">
        <v>0</v>
      </c>
      <c r="D355" s="35" t="s">
        <v>117</v>
      </c>
      <c r="E355" s="14">
        <f>Input!G14</f>
        <v>99</v>
      </c>
      <c r="G355" s="14" t="s">
        <v>170</v>
      </c>
      <c r="H355" s="14"/>
      <c r="J355" s="25"/>
      <c r="K355" t="s">
        <v>0</v>
      </c>
    </row>
    <row r="356" spans="1:11" ht="15">
      <c r="A356" t="s">
        <v>0</v>
      </c>
      <c r="D356" s="34" t="s">
        <v>119</v>
      </c>
      <c r="E356" s="2">
        <f>ROUND(((E352-E353)/E354)/E355,2)</f>
        <v>31.52</v>
      </c>
      <c r="G356" t="s">
        <v>120</v>
      </c>
      <c r="J356" s="25"/>
      <c r="K356" t="s">
        <v>0</v>
      </c>
    </row>
    <row r="357" spans="1:11" ht="15">
      <c r="A357" t="s">
        <v>0</v>
      </c>
      <c r="D357" s="34"/>
      <c r="K357" t="s">
        <v>0</v>
      </c>
    </row>
    <row r="358" spans="1:11" ht="15">
      <c r="A358" t="s">
        <v>0</v>
      </c>
      <c r="C358" t="s">
        <v>228</v>
      </c>
      <c r="D358" s="34"/>
      <c r="E358" s="58">
        <f>'Capital Costs'!$G$28</f>
        <v>166000</v>
      </c>
      <c r="G358" t="s">
        <v>167</v>
      </c>
      <c r="J358" s="25"/>
      <c r="K358" t="s">
        <v>0</v>
      </c>
    </row>
    <row r="359" spans="1:11" ht="15">
      <c r="A359" t="s">
        <v>0</v>
      </c>
      <c r="D359" s="34" t="s">
        <v>150</v>
      </c>
      <c r="E359" s="58">
        <f>'Capital Costs'!$G$28*'Capital Costs'!$H$28</f>
        <v>16600</v>
      </c>
      <c r="G359" t="s">
        <v>168</v>
      </c>
      <c r="J359" s="25"/>
      <c r="K359" t="s">
        <v>0</v>
      </c>
    </row>
    <row r="360" spans="1:11" ht="15">
      <c r="A360" t="s">
        <v>0</v>
      </c>
      <c r="D360" s="34" t="s">
        <v>117</v>
      </c>
      <c r="E360" s="4">
        <f>'Capital Costs'!I28</f>
        <v>10</v>
      </c>
      <c r="G360" t="s">
        <v>169</v>
      </c>
      <c r="J360" s="25"/>
      <c r="K360" t="s">
        <v>0</v>
      </c>
    </row>
    <row r="361" spans="1:11" ht="15">
      <c r="A361" t="s">
        <v>0</v>
      </c>
      <c r="D361" s="35" t="s">
        <v>117</v>
      </c>
      <c r="E361" s="19">
        <f>Input!G14</f>
        <v>99</v>
      </c>
      <c r="F361" s="14"/>
      <c r="G361" s="14" t="s">
        <v>170</v>
      </c>
      <c r="H361" s="14"/>
      <c r="I361" s="14"/>
      <c r="J361" s="25"/>
      <c r="K361" t="s">
        <v>0</v>
      </c>
    </row>
    <row r="362" spans="1:11" ht="15">
      <c r="A362" t="s">
        <v>0</v>
      </c>
      <c r="D362" s="34" t="s">
        <v>119</v>
      </c>
      <c r="E362" s="2">
        <f>ROUND(((E358-E359)/E360)/E361,2)</f>
        <v>150.91</v>
      </c>
      <c r="G362" t="s">
        <v>120</v>
      </c>
      <c r="J362" s="25"/>
      <c r="K362" t="s">
        <v>0</v>
      </c>
    </row>
    <row r="363" spans="1:11" ht="15">
      <c r="A363" t="s">
        <v>0</v>
      </c>
      <c r="D363" s="34"/>
      <c r="K363" t="s">
        <v>0</v>
      </c>
    </row>
    <row r="364" spans="1:11" ht="15.75">
      <c r="A364" t="s">
        <v>0</v>
      </c>
      <c r="C364" s="15" t="s">
        <v>134</v>
      </c>
      <c r="D364" s="36" t="s">
        <v>119</v>
      </c>
      <c r="E364" s="18">
        <f>E356+E362</f>
        <v>182.43</v>
      </c>
      <c r="F364" s="15"/>
      <c r="G364" s="15" t="s">
        <v>120</v>
      </c>
      <c r="H364" s="15"/>
      <c r="I364" s="15"/>
      <c r="J364" s="25"/>
      <c r="K364" t="s">
        <v>0</v>
      </c>
    </row>
    <row r="365" spans="1:11" ht="15">
      <c r="A365" t="s">
        <v>0</v>
      </c>
      <c r="E365" s="2"/>
      <c r="K365" t="s">
        <v>0</v>
      </c>
    </row>
    <row r="366" spans="1:11" ht="15.75">
      <c r="A366" t="s">
        <v>0</v>
      </c>
      <c r="B366" s="15" t="s">
        <v>178</v>
      </c>
      <c r="K366" t="s">
        <v>0</v>
      </c>
    </row>
    <row r="367" spans="1:11" ht="15">
      <c r="A367" t="s">
        <v>0</v>
      </c>
      <c r="D367" s="21" t="s">
        <v>179</v>
      </c>
      <c r="H367" s="22" t="s">
        <v>180</v>
      </c>
      <c r="K367" t="s">
        <v>0</v>
      </c>
    </row>
    <row r="368" spans="1:11" ht="15">
      <c r="A368" t="s">
        <v>0</v>
      </c>
      <c r="D368" s="22" t="s">
        <v>181</v>
      </c>
      <c r="K368" t="s">
        <v>0</v>
      </c>
    </row>
    <row r="369" spans="1:11" ht="15">
      <c r="A369" t="s">
        <v>0</v>
      </c>
      <c r="K369" t="s">
        <v>0</v>
      </c>
    </row>
    <row r="370" spans="1:11" ht="15.75">
      <c r="A370" t="s">
        <v>0</v>
      </c>
      <c r="B370" s="15" t="s">
        <v>291</v>
      </c>
      <c r="K370" t="s">
        <v>0</v>
      </c>
    </row>
    <row r="371" spans="2:10" ht="15.75">
      <c r="B371" s="15"/>
      <c r="C371" t="s">
        <v>397</v>
      </c>
      <c r="E371" s="58">
        <f>'Capital Costs'!G8</f>
        <v>100000</v>
      </c>
      <c r="G371" t="s">
        <v>398</v>
      </c>
      <c r="J371" s="25"/>
    </row>
    <row r="372" spans="2:10" ht="15.75">
      <c r="B372" s="15"/>
      <c r="D372" s="34" t="s">
        <v>115</v>
      </c>
      <c r="E372" s="72">
        <f>'Other Costs'!G85</f>
        <v>0.0225</v>
      </c>
      <c r="G372" t="s">
        <v>399</v>
      </c>
      <c r="J372" s="25"/>
    </row>
    <row r="373" spans="2:10" ht="15.75">
      <c r="B373" s="15"/>
      <c r="D373" s="35" t="s">
        <v>117</v>
      </c>
      <c r="E373" s="50">
        <f>Input!G14</f>
        <v>99</v>
      </c>
      <c r="F373" s="50"/>
      <c r="G373" s="50" t="s">
        <v>170</v>
      </c>
      <c r="J373" s="25"/>
    </row>
    <row r="374" spans="2:10" ht="15.75">
      <c r="B374" s="15"/>
      <c r="D374" s="36" t="s">
        <v>119</v>
      </c>
      <c r="E374" s="48">
        <f>ROUND((E371*E372)/E373,2)</f>
        <v>22.73</v>
      </c>
      <c r="G374" t="s">
        <v>120</v>
      </c>
      <c r="J374" s="25"/>
    </row>
    <row r="375" ht="15.75">
      <c r="B375" s="15"/>
    </row>
    <row r="376" spans="1:11" ht="15">
      <c r="A376" t="s">
        <v>0</v>
      </c>
      <c r="C376" t="s">
        <v>229</v>
      </c>
      <c r="D376" s="34"/>
      <c r="E376" s="58">
        <f>'Capital Costs'!$G$9</f>
        <v>725000</v>
      </c>
      <c r="G376" t="s">
        <v>167</v>
      </c>
      <c r="J376" s="25"/>
      <c r="K376" t="s">
        <v>0</v>
      </c>
    </row>
    <row r="377" spans="1:11" ht="15">
      <c r="A377" t="s">
        <v>0</v>
      </c>
      <c r="D377" s="34" t="s">
        <v>121</v>
      </c>
      <c r="E377" s="58">
        <f>'Capital Costs'!$H$9*'Capital Costs'!$G$9</f>
        <v>72500</v>
      </c>
      <c r="G377" t="s">
        <v>168</v>
      </c>
      <c r="J377" s="25"/>
      <c r="K377" t="s">
        <v>0</v>
      </c>
    </row>
    <row r="378" spans="1:11" ht="15">
      <c r="A378" t="s">
        <v>0</v>
      </c>
      <c r="D378" s="34" t="s">
        <v>117</v>
      </c>
      <c r="E378" s="4">
        <v>2</v>
      </c>
      <c r="G378" t="s">
        <v>161</v>
      </c>
      <c r="J378" s="25"/>
      <c r="K378" t="s">
        <v>0</v>
      </c>
    </row>
    <row r="379" spans="1:11" ht="15">
      <c r="A379" t="s">
        <v>0</v>
      </c>
      <c r="D379" s="34" t="s">
        <v>115</v>
      </c>
      <c r="E379" s="72">
        <f>'Other Costs'!$G$85</f>
        <v>0.0225</v>
      </c>
      <c r="G379" t="s">
        <v>182</v>
      </c>
      <c r="J379" s="25"/>
      <c r="K379" t="s">
        <v>0</v>
      </c>
    </row>
    <row r="380" spans="1:11" ht="15">
      <c r="A380" t="s">
        <v>0</v>
      </c>
      <c r="D380" s="35" t="s">
        <v>117</v>
      </c>
      <c r="E380" s="19">
        <f>Input!$G$14</f>
        <v>99</v>
      </c>
      <c r="F380" s="14"/>
      <c r="G380" s="14" t="s">
        <v>170</v>
      </c>
      <c r="H380" s="14"/>
      <c r="I380" s="14"/>
      <c r="J380" s="25"/>
      <c r="K380" t="s">
        <v>0</v>
      </c>
    </row>
    <row r="381" spans="1:11" ht="15.75">
      <c r="A381" t="s">
        <v>0</v>
      </c>
      <c r="D381" s="36" t="s">
        <v>119</v>
      </c>
      <c r="E381" s="2">
        <f>ROUND(((E376+E377)/E378*(E379))/E380,2)</f>
        <v>90.63</v>
      </c>
      <c r="G381" t="s">
        <v>120</v>
      </c>
      <c r="J381" s="25"/>
      <c r="K381" t="s">
        <v>0</v>
      </c>
    </row>
    <row r="382" spans="1:11" ht="15">
      <c r="A382" t="s">
        <v>0</v>
      </c>
      <c r="D382" s="34"/>
      <c r="K382" t="s">
        <v>0</v>
      </c>
    </row>
    <row r="383" spans="1:11" ht="15">
      <c r="A383" t="s">
        <v>0</v>
      </c>
      <c r="C383" t="s">
        <v>271</v>
      </c>
      <c r="D383" s="34"/>
      <c r="E383" s="58">
        <f>'Capital Costs'!$G$10</f>
        <v>725000</v>
      </c>
      <c r="G383" t="s">
        <v>167</v>
      </c>
      <c r="J383" s="25"/>
    </row>
    <row r="384" spans="1:11" ht="15">
      <c r="A384" t="s">
        <v>0</v>
      </c>
      <c r="D384" s="34" t="s">
        <v>121</v>
      </c>
      <c r="E384" s="58">
        <f>'Capital Costs'!$H$10*'Capital Costs'!$G$10</f>
        <v>72500</v>
      </c>
      <c r="G384" t="s">
        <v>168</v>
      </c>
      <c r="J384" s="25"/>
    </row>
    <row r="385" spans="1:11" ht="15">
      <c r="A385" t="s">
        <v>0</v>
      </c>
      <c r="D385" s="34" t="s">
        <v>117</v>
      </c>
      <c r="E385" s="4">
        <v>2</v>
      </c>
      <c r="G385" t="s">
        <v>161</v>
      </c>
      <c r="J385" s="25"/>
    </row>
    <row r="386" spans="1:11" ht="15">
      <c r="A386" t="s">
        <v>0</v>
      </c>
      <c r="D386" s="34" t="s">
        <v>115</v>
      </c>
      <c r="E386" s="72">
        <f>'Other Costs'!$G$85</f>
        <v>0.0225</v>
      </c>
      <c r="G386" t="s">
        <v>182</v>
      </c>
      <c r="J386" s="25"/>
    </row>
    <row r="387" spans="1:11" ht="15">
      <c r="A387" t="s">
        <v>0</v>
      </c>
      <c r="D387" s="35" t="s">
        <v>117</v>
      </c>
      <c r="E387" s="19">
        <f>Input!$G$14</f>
        <v>99</v>
      </c>
      <c r="F387" s="14"/>
      <c r="G387" s="14" t="s">
        <v>170</v>
      </c>
      <c r="H387" s="14"/>
      <c r="I387" s="14"/>
      <c r="J387" s="25"/>
    </row>
    <row r="388" spans="1:11" ht="15.75">
      <c r="A388" t="s">
        <v>0</v>
      </c>
      <c r="D388" s="36" t="s">
        <v>119</v>
      </c>
      <c r="E388" s="2">
        <f>ROUND(((E383+E384)/E385*(E386))/E387,2)</f>
        <v>90.63</v>
      </c>
      <c r="G388" t="s">
        <v>120</v>
      </c>
      <c r="J388" s="25"/>
    </row>
    <row r="390" ht="15">
      <c r="C390" t="s">
        <v>402</v>
      </c>
    </row>
    <row r="391" spans="5:10" ht="15">
      <c r="E391" s="58">
        <f>'Capital Costs'!G11</f>
        <v>50000</v>
      </c>
      <c r="G391" t="s">
        <v>167</v>
      </c>
      <c r="J391" s="25"/>
    </row>
    <row r="392" spans="4:10" ht="15">
      <c r="D392" s="34" t="s">
        <v>121</v>
      </c>
      <c r="E392" s="58">
        <f>'Capital Costs'!$G$11*'Capital Costs'!$H$11</f>
        <v>5000</v>
      </c>
      <c r="G392" t="s">
        <v>168</v>
      </c>
      <c r="J392" s="25"/>
    </row>
    <row r="393" spans="4:10" ht="15">
      <c r="D393" s="34" t="s">
        <v>117</v>
      </c>
      <c r="E393" s="4">
        <v>2</v>
      </c>
      <c r="G393" t="s">
        <v>161</v>
      </c>
      <c r="J393" s="25"/>
    </row>
    <row r="394" spans="4:10" ht="15">
      <c r="D394" s="34" t="s">
        <v>115</v>
      </c>
      <c r="E394" s="72">
        <f>'Other Costs'!$G$85</f>
        <v>0.0225</v>
      </c>
      <c r="G394" t="s">
        <v>182</v>
      </c>
      <c r="J394" s="25"/>
    </row>
    <row r="395" spans="4:10" ht="15">
      <c r="D395" s="35" t="s">
        <v>117</v>
      </c>
      <c r="E395" s="19">
        <f>Input!$G$14</f>
        <v>99</v>
      </c>
      <c r="G395" s="14" t="s">
        <v>170</v>
      </c>
      <c r="J395" s="25"/>
    </row>
    <row r="396" spans="4:10" ht="15.75">
      <c r="D396" s="36" t="s">
        <v>119</v>
      </c>
      <c r="E396" s="2">
        <f>ROUND(((E391+E392)/E393*(E394))/E395,2)</f>
        <v>6.25</v>
      </c>
      <c r="G396" t="s">
        <v>120</v>
      </c>
      <c r="J396" s="25"/>
    </row>
    <row r="398" spans="3:10" ht="15">
      <c r="C398" t="s">
        <v>171</v>
      </c>
      <c r="E398" s="58">
        <f>'Capital Costs'!G12</f>
        <v>175000</v>
      </c>
      <c r="G398" t="s">
        <v>167</v>
      </c>
      <c r="J398" s="25"/>
    </row>
    <row r="399" spans="4:10" ht="15">
      <c r="D399" s="34" t="s">
        <v>121</v>
      </c>
      <c r="E399" s="2">
        <f>'Capital Costs'!G12*'Capital Costs'!H12</f>
        <v>0</v>
      </c>
      <c r="G399" t="s">
        <v>168</v>
      </c>
      <c r="J399" s="25"/>
    </row>
    <row r="400" spans="4:10" ht="15">
      <c r="D400" s="34" t="s">
        <v>117</v>
      </c>
      <c r="E400" s="4">
        <v>2</v>
      </c>
      <c r="G400" t="s">
        <v>161</v>
      </c>
      <c r="J400" s="25"/>
    </row>
    <row r="401" spans="4:10" ht="15">
      <c r="D401" s="34" t="s">
        <v>115</v>
      </c>
      <c r="E401" s="72">
        <f>'Other Costs'!$G$85</f>
        <v>0.0225</v>
      </c>
      <c r="G401" t="s">
        <v>182</v>
      </c>
      <c r="J401" s="25"/>
    </row>
    <row r="402" spans="4:10" ht="15">
      <c r="D402" s="35" t="s">
        <v>117</v>
      </c>
      <c r="E402" s="19">
        <f>Input!$G$14</f>
        <v>99</v>
      </c>
      <c r="G402" s="14" t="s">
        <v>170</v>
      </c>
      <c r="J402" s="25"/>
    </row>
    <row r="403" spans="4:10" ht="15.75">
      <c r="D403" s="36" t="s">
        <v>119</v>
      </c>
      <c r="E403" s="2">
        <f>ROUND(((E398+E399)/E400*(E401))/E402,2)</f>
        <v>19.89</v>
      </c>
      <c r="G403" t="s">
        <v>120</v>
      </c>
      <c r="J403" s="25"/>
    </row>
    <row r="405" spans="3:11" ht="15">
      <c r="C405" t="s">
        <v>183</v>
      </c>
      <c r="D405" s="34"/>
      <c r="E405" s="58">
        <f>'Capital Costs'!G13</f>
        <v>50000</v>
      </c>
      <c r="G405" t="s">
        <v>167</v>
      </c>
      <c r="J405" s="25"/>
    </row>
    <row r="406" spans="4:11" ht="15">
      <c r="D406" s="34" t="s">
        <v>121</v>
      </c>
      <c r="E406" s="58">
        <f>'Capital Costs'!$H$13*'Capital Costs'!$G$13</f>
        <v>5000</v>
      </c>
      <c r="G406" t="s">
        <v>168</v>
      </c>
      <c r="J406" s="25"/>
    </row>
    <row r="407" spans="4:11" ht="15">
      <c r="D407" s="34" t="s">
        <v>117</v>
      </c>
      <c r="E407" s="4">
        <v>2</v>
      </c>
      <c r="G407" t="s">
        <v>161</v>
      </c>
      <c r="J407" s="25"/>
    </row>
    <row r="408" spans="4:11" ht="15">
      <c r="D408" s="34" t="s">
        <v>115</v>
      </c>
      <c r="E408" s="72">
        <f>'Other Costs'!$G$85</f>
        <v>0.0225</v>
      </c>
      <c r="G408" t="s">
        <v>182</v>
      </c>
      <c r="J408" s="25"/>
    </row>
    <row r="409" spans="4:11" ht="15">
      <c r="D409" s="35" t="s">
        <v>117</v>
      </c>
      <c r="E409" s="19">
        <f>Input!$G$14</f>
        <v>99</v>
      </c>
      <c r="G409" s="14" t="s">
        <v>170</v>
      </c>
      <c r="H409" s="14"/>
      <c r="J409" s="25"/>
    </row>
    <row r="410" spans="4:11" ht="15.75">
      <c r="D410" s="36" t="s">
        <v>119</v>
      </c>
      <c r="E410" s="2">
        <f>ROUND(((E405+E406)/E407*(E408))/E409,2)</f>
        <v>6.25</v>
      </c>
      <c r="G410" t="s">
        <v>120</v>
      </c>
      <c r="J410" s="25"/>
    </row>
    <row r="411" ht="15">
      <c r="D411" s="34"/>
    </row>
    <row r="412" spans="3:11" ht="15">
      <c r="C412" t="s">
        <v>174</v>
      </c>
      <c r="D412" s="34"/>
      <c r="E412" s="58">
        <f>'Capital Costs'!G14</f>
        <v>30000</v>
      </c>
      <c r="G412" t="s">
        <v>167</v>
      </c>
      <c r="J412" s="25"/>
    </row>
    <row r="413" spans="4:11" ht="15">
      <c r="D413" s="34" t="s">
        <v>121</v>
      </c>
      <c r="E413" s="2">
        <f>'Capital Costs'!$H$14*'Capital Costs'!$G$14</f>
        <v>0</v>
      </c>
      <c r="G413" t="s">
        <v>168</v>
      </c>
      <c r="J413" s="25"/>
    </row>
    <row r="414" spans="4:11" ht="15">
      <c r="D414" s="34" t="s">
        <v>117</v>
      </c>
      <c r="E414" s="4">
        <v>2</v>
      </c>
      <c r="G414" t="s">
        <v>161</v>
      </c>
      <c r="J414" s="25"/>
    </row>
    <row r="415" spans="4:11" ht="15">
      <c r="D415" s="34" t="s">
        <v>115</v>
      </c>
      <c r="E415" s="72">
        <f>'Other Costs'!$G$85</f>
        <v>0.0225</v>
      </c>
      <c r="G415" t="s">
        <v>182</v>
      </c>
      <c r="J415" s="25"/>
    </row>
    <row r="416" spans="4:11" ht="15">
      <c r="D416" s="35" t="s">
        <v>117</v>
      </c>
      <c r="E416" s="19">
        <f>Input!$G$14</f>
        <v>99</v>
      </c>
      <c r="G416" s="14" t="s">
        <v>170</v>
      </c>
      <c r="J416" s="25"/>
    </row>
    <row r="417" spans="4:11" ht="15.75">
      <c r="D417" s="36" t="s">
        <v>119</v>
      </c>
      <c r="E417" s="2">
        <f>ROUND(((E412+E413)/E414*(E415))/E416,2)</f>
        <v>3.41</v>
      </c>
      <c r="G417" t="s">
        <v>120</v>
      </c>
      <c r="J417" s="25"/>
    </row>
    <row r="419" spans="3:11" ht="15">
      <c r="C419" t="s">
        <v>175</v>
      </c>
      <c r="D419" s="34"/>
      <c r="E419" s="58">
        <f>'Capital Costs'!G15</f>
        <v>18000</v>
      </c>
      <c r="G419" t="s">
        <v>167</v>
      </c>
      <c r="J419" s="25"/>
    </row>
    <row r="420" spans="4:11" ht="15">
      <c r="D420" s="34" t="s">
        <v>121</v>
      </c>
      <c r="E420" s="58">
        <f>'Capital Costs'!$H$15*'Capital Costs'!$G$15</f>
        <v>1800</v>
      </c>
      <c r="G420" t="s">
        <v>168</v>
      </c>
      <c r="J420" s="25"/>
    </row>
    <row r="421" spans="4:11" ht="15">
      <c r="D421" s="34" t="s">
        <v>117</v>
      </c>
      <c r="E421" s="4">
        <v>2</v>
      </c>
      <c r="G421" t="s">
        <v>161</v>
      </c>
      <c r="J421" s="25"/>
    </row>
    <row r="422" spans="4:11" ht="15">
      <c r="D422" s="34" t="s">
        <v>115</v>
      </c>
      <c r="E422" s="72">
        <f>'Other Costs'!$G$85</f>
        <v>0.0225</v>
      </c>
      <c r="G422" t="s">
        <v>182</v>
      </c>
      <c r="J422" s="25"/>
    </row>
    <row r="423" spans="4:11" ht="15">
      <c r="D423" s="35" t="s">
        <v>117</v>
      </c>
      <c r="E423" s="19">
        <f>Input!$G$14</f>
        <v>99</v>
      </c>
      <c r="G423" s="14" t="s">
        <v>170</v>
      </c>
      <c r="J423" s="25"/>
    </row>
    <row r="424" spans="4:11" ht="15.75">
      <c r="D424" s="36" t="s">
        <v>119</v>
      </c>
      <c r="E424" s="2">
        <f>ROUND(((E419+E420)/E421*(E422))/E423,2)</f>
        <v>2.25</v>
      </c>
      <c r="G424" t="s">
        <v>120</v>
      </c>
      <c r="J424" s="25"/>
    </row>
    <row r="425" ht="15">
      <c r="D425" s="34"/>
    </row>
    <row r="426" spans="3:11" ht="15">
      <c r="C426" t="s">
        <v>176</v>
      </c>
      <c r="D426" s="34"/>
      <c r="E426" s="58">
        <f>'Capital Costs'!G16</f>
        <v>20000</v>
      </c>
      <c r="G426" t="s">
        <v>167</v>
      </c>
      <c r="J426" s="25"/>
    </row>
    <row r="427" spans="4:11" ht="15">
      <c r="D427" s="34" t="s">
        <v>121</v>
      </c>
      <c r="E427" s="58">
        <f>'Capital Costs'!$H$16*'Capital Costs'!$G$16</f>
        <v>2000</v>
      </c>
      <c r="G427" t="s">
        <v>168</v>
      </c>
      <c r="J427" s="25"/>
    </row>
    <row r="428" spans="4:11" ht="15">
      <c r="D428" s="34" t="s">
        <v>117</v>
      </c>
      <c r="E428" s="4">
        <v>2</v>
      </c>
      <c r="G428" t="s">
        <v>161</v>
      </c>
      <c r="J428" s="25"/>
    </row>
    <row r="429" spans="4:11" ht="15">
      <c r="D429" s="34" t="s">
        <v>115</v>
      </c>
      <c r="E429" s="72">
        <f>'Other Costs'!$G$85</f>
        <v>0.0225</v>
      </c>
      <c r="G429" t="s">
        <v>182</v>
      </c>
      <c r="J429" s="25"/>
    </row>
    <row r="430" spans="4:11" ht="15">
      <c r="D430" s="35" t="s">
        <v>117</v>
      </c>
      <c r="E430" s="19">
        <f>Input!$G$14</f>
        <v>99</v>
      </c>
      <c r="G430" s="14" t="s">
        <v>170</v>
      </c>
      <c r="J430" s="25"/>
    </row>
    <row r="431" spans="4:11" ht="15.75">
      <c r="D431" s="36" t="s">
        <v>119</v>
      </c>
      <c r="E431" s="2">
        <f>ROUND(((E426+E427)/E428*(E429))/E430,2)</f>
        <v>2.5</v>
      </c>
      <c r="G431" t="s">
        <v>120</v>
      </c>
      <c r="J431" s="25"/>
    </row>
    <row r="432" spans="4:5" ht="15">
      <c r="D432" s="34"/>
      <c r="E432" s="2"/>
    </row>
    <row r="433" spans="1:11" ht="15.75">
      <c r="A433" t="s">
        <v>0</v>
      </c>
      <c r="C433" s="15" t="s">
        <v>184</v>
      </c>
      <c r="D433" s="36" t="s">
        <v>119</v>
      </c>
      <c r="E433" s="18">
        <f>E374+E381+E388+E396+E403+E410+E417+E424+E431</f>
        <v>244.54</v>
      </c>
      <c r="G433" s="15" t="s">
        <v>120</v>
      </c>
      <c r="H433" s="15"/>
      <c r="J433" s="25"/>
      <c r="K433" t="s">
        <v>0</v>
      </c>
    </row>
    <row r="434" spans="1:11" ht="15">
      <c r="A434" t="s">
        <v>0</v>
      </c>
      <c r="K434" t="s">
        <v>0</v>
      </c>
    </row>
    <row r="435" spans="1:11" ht="15.75">
      <c r="A435" t="s">
        <v>0</v>
      </c>
      <c r="B435" s="15" t="s">
        <v>292</v>
      </c>
      <c r="K435" t="s">
        <v>0</v>
      </c>
    </row>
    <row r="436" spans="1:11" ht="15">
      <c r="A436" t="s">
        <v>0</v>
      </c>
      <c r="C436" t="s">
        <v>177</v>
      </c>
      <c r="D436" s="34"/>
      <c r="E436" s="58">
        <f>'Capital Costs'!$G$22</f>
        <v>52000</v>
      </c>
      <c r="G436" t="s">
        <v>167</v>
      </c>
      <c r="J436" s="25"/>
      <c r="K436" t="s">
        <v>0</v>
      </c>
    </row>
    <row r="437" spans="1:11" ht="15">
      <c r="A437" t="s">
        <v>0</v>
      </c>
      <c r="D437" s="34" t="s">
        <v>121</v>
      </c>
      <c r="E437" s="58">
        <f>'Capital Costs'!$G$22*'Capital Costs'!$H$22</f>
        <v>5200</v>
      </c>
      <c r="G437" t="s">
        <v>168</v>
      </c>
      <c r="J437" s="25"/>
      <c r="K437" t="s">
        <v>0</v>
      </c>
    </row>
    <row r="438" spans="1:11" ht="15">
      <c r="A438" t="s">
        <v>0</v>
      </c>
      <c r="D438" s="34" t="s">
        <v>117</v>
      </c>
      <c r="E438" s="4">
        <v>2</v>
      </c>
      <c r="G438" t="s">
        <v>161</v>
      </c>
      <c r="J438" s="25"/>
      <c r="K438" t="s">
        <v>0</v>
      </c>
    </row>
    <row r="439" spans="1:11" ht="15">
      <c r="A439" t="s">
        <v>0</v>
      </c>
      <c r="D439" s="34" t="s">
        <v>115</v>
      </c>
      <c r="E439" s="72">
        <f>'Other Costs'!G85</f>
        <v>0.0225</v>
      </c>
      <c r="G439" t="s">
        <v>182</v>
      </c>
      <c r="J439" s="25"/>
      <c r="K439" t="s">
        <v>0</v>
      </c>
    </row>
    <row r="440" spans="1:11" ht="15">
      <c r="A440" t="s">
        <v>0</v>
      </c>
      <c r="D440" s="35" t="s">
        <v>117</v>
      </c>
      <c r="E440" s="19">
        <f>Input!G14</f>
        <v>99</v>
      </c>
      <c r="F440" s="14"/>
      <c r="G440" s="14" t="s">
        <v>170</v>
      </c>
      <c r="H440" s="14"/>
      <c r="I440" s="14"/>
      <c r="J440" s="25"/>
      <c r="K440" t="s">
        <v>0</v>
      </c>
    </row>
    <row r="441" spans="1:11" ht="15.75">
      <c r="A441" t="s">
        <v>0</v>
      </c>
      <c r="D441" s="36" t="s">
        <v>119</v>
      </c>
      <c r="E441" s="2">
        <f>ROUND(((E436+E437)/E438*(E439))/E440,2)</f>
        <v>6.5</v>
      </c>
      <c r="G441" t="s">
        <v>120</v>
      </c>
      <c r="J441" s="25"/>
      <c r="K441" t="s">
        <v>0</v>
      </c>
    </row>
    <row r="442" spans="1:11" ht="15">
      <c r="A442" t="s">
        <v>0</v>
      </c>
      <c r="D442" s="34"/>
      <c r="K442" t="s">
        <v>0</v>
      </c>
    </row>
    <row r="443" spans="1:11" ht="15">
      <c r="A443" t="s">
        <v>0</v>
      </c>
      <c r="C443" t="s">
        <v>228</v>
      </c>
      <c r="D443" s="34"/>
      <c r="E443" s="58">
        <f>'Capital Costs'!$G$28</f>
        <v>166000</v>
      </c>
      <c r="G443" t="s">
        <v>167</v>
      </c>
      <c r="J443" s="25"/>
      <c r="K443" t="s">
        <v>0</v>
      </c>
    </row>
    <row r="444" spans="1:11" ht="15">
      <c r="A444" t="s">
        <v>0</v>
      </c>
      <c r="D444" s="34" t="s">
        <v>121</v>
      </c>
      <c r="E444" s="58">
        <f>'Capital Costs'!$G$28*'Capital Costs'!$H$28</f>
        <v>16600</v>
      </c>
      <c r="G444" t="s">
        <v>168</v>
      </c>
      <c r="J444" s="25"/>
      <c r="K444" t="s">
        <v>0</v>
      </c>
    </row>
    <row r="445" spans="1:11" ht="15">
      <c r="A445" t="s">
        <v>0</v>
      </c>
      <c r="D445" s="34" t="s">
        <v>117</v>
      </c>
      <c r="E445" s="4">
        <v>2</v>
      </c>
      <c r="G445" t="s">
        <v>161</v>
      </c>
      <c r="J445" s="25"/>
      <c r="K445" t="s">
        <v>0</v>
      </c>
    </row>
    <row r="446" spans="1:11" ht="15">
      <c r="A446" t="s">
        <v>0</v>
      </c>
      <c r="D446" s="34" t="s">
        <v>115</v>
      </c>
      <c r="E446" s="72">
        <f>'Other Costs'!G85</f>
        <v>0.0225</v>
      </c>
      <c r="G446" t="s">
        <v>182</v>
      </c>
      <c r="J446" s="25"/>
      <c r="K446" t="s">
        <v>0</v>
      </c>
    </row>
    <row r="447" spans="1:11" ht="15">
      <c r="A447" t="s">
        <v>0</v>
      </c>
      <c r="C447" s="14"/>
      <c r="D447" s="35" t="s">
        <v>117</v>
      </c>
      <c r="E447" s="19">
        <f>Input!G14</f>
        <v>99</v>
      </c>
      <c r="F447" s="14"/>
      <c r="G447" s="14" t="s">
        <v>170</v>
      </c>
      <c r="H447" s="14"/>
      <c r="I447" s="14"/>
      <c r="J447" s="25"/>
      <c r="K447" t="s">
        <v>0</v>
      </c>
    </row>
    <row r="448" spans="1:11" ht="15">
      <c r="A448" t="s">
        <v>0</v>
      </c>
      <c r="D448" s="34" t="s">
        <v>119</v>
      </c>
      <c r="E448" s="2">
        <f>ROUND(((E443+E444)/E445*(E446))/E447,2)</f>
        <v>20.75</v>
      </c>
      <c r="G448" t="s">
        <v>120</v>
      </c>
      <c r="J448" s="25"/>
      <c r="K448" t="s">
        <v>0</v>
      </c>
    </row>
    <row r="449" spans="1:11" ht="15">
      <c r="A449" t="s">
        <v>0</v>
      </c>
      <c r="D449" s="34"/>
      <c r="K449" t="s">
        <v>0</v>
      </c>
    </row>
    <row r="450" spans="1:11" ht="15.75">
      <c r="A450" t="s">
        <v>0</v>
      </c>
      <c r="C450" s="15" t="s">
        <v>134</v>
      </c>
      <c r="D450" s="36" t="s">
        <v>119</v>
      </c>
      <c r="E450" s="18">
        <f>E441+E448</f>
        <v>27.25</v>
      </c>
      <c r="F450" s="15"/>
      <c r="G450" s="15" t="s">
        <v>120</v>
      </c>
      <c r="H450" s="15"/>
      <c r="I450" s="15"/>
      <c r="J450" s="25"/>
      <c r="K450" t="s">
        <v>0</v>
      </c>
    </row>
    <row r="451" spans="1:11" ht="15">
      <c r="A451" t="s">
        <v>0</v>
      </c>
      <c r="K451" t="s">
        <v>0</v>
      </c>
    </row>
    <row r="452" spans="1:11" ht="15.75">
      <c r="A452" t="s">
        <v>0</v>
      </c>
      <c r="B452" s="15" t="s">
        <v>293</v>
      </c>
      <c r="K452" t="s">
        <v>0</v>
      </c>
    </row>
    <row r="453" spans="1:11" ht="15">
      <c r="A453" t="s">
        <v>0</v>
      </c>
      <c r="D453" s="34"/>
      <c r="E453" s="58">
        <f>Input!G37</f>
        <v>2500</v>
      </c>
      <c r="G453" t="s">
        <v>185</v>
      </c>
      <c r="J453" s="25"/>
    </row>
    <row r="454" spans="4:10" ht="15">
      <c r="D454" s="73" t="s">
        <v>115</v>
      </c>
      <c r="E454" s="80">
        <f>'Other Costs'!G85</f>
        <v>0.0225</v>
      </c>
      <c r="F454" s="74"/>
      <c r="G454" s="74" t="s">
        <v>182</v>
      </c>
      <c r="H454" s="24"/>
      <c r="J454" s="25"/>
    </row>
    <row r="455" spans="1:11" ht="15.75">
      <c r="A455" t="s">
        <v>0</v>
      </c>
      <c r="D455" s="36" t="s">
        <v>119</v>
      </c>
      <c r="E455" s="18">
        <f>ROUND(E453*E454,2)</f>
        <v>56.25</v>
      </c>
      <c r="F455" s="15"/>
      <c r="G455" s="15" t="s">
        <v>120</v>
      </c>
      <c r="H455" s="15"/>
      <c r="I455" s="15"/>
      <c r="J455" s="25"/>
      <c r="K455" t="s">
        <v>0</v>
      </c>
    </row>
    <row r="456" spans="1:11" ht="15">
      <c r="A456" t="s">
        <v>0</v>
      </c>
      <c r="D456" s="34"/>
      <c r="K456" t="s">
        <v>0</v>
      </c>
    </row>
    <row r="457" spans="1:11" ht="15.75">
      <c r="A457" t="s">
        <v>0</v>
      </c>
      <c r="B457" s="15" t="s">
        <v>186</v>
      </c>
      <c r="C457" s="15"/>
      <c r="D457" s="34"/>
      <c r="K457" t="s">
        <v>0</v>
      </c>
    </row>
    <row r="458" spans="1:11" ht="15">
      <c r="A458" t="s">
        <v>0</v>
      </c>
      <c r="D458" s="34"/>
      <c r="E458" s="4">
        <f>'Other Costs'!G88</f>
        <v>50</v>
      </c>
      <c r="G458" t="s">
        <v>187</v>
      </c>
      <c r="J458" s="25"/>
      <c r="K458" t="s">
        <v>0</v>
      </c>
    </row>
    <row r="459" spans="1:11" ht="15">
      <c r="A459" t="s">
        <v>0</v>
      </c>
      <c r="D459" s="35" t="s">
        <v>115</v>
      </c>
      <c r="E459" s="17">
        <f>'Other Costs'!G89</f>
        <v>22</v>
      </c>
      <c r="F459" s="14"/>
      <c r="G459" s="14" t="s">
        <v>188</v>
      </c>
      <c r="H459" s="14"/>
      <c r="I459" s="14"/>
      <c r="J459" s="25"/>
      <c r="K459" t="s">
        <v>0</v>
      </c>
    </row>
    <row r="460" spans="1:11" ht="15">
      <c r="A460" t="s">
        <v>0</v>
      </c>
      <c r="D460" s="46" t="s">
        <v>119</v>
      </c>
      <c r="E460" s="66">
        <f>ROUND(E458*E459,2)</f>
        <v>1100</v>
      </c>
      <c r="F460" s="28"/>
      <c r="G460" s="24" t="s">
        <v>120</v>
      </c>
      <c r="J460" s="25"/>
      <c r="K460" t="s">
        <v>0</v>
      </c>
    </row>
    <row r="461" spans="1:11" ht="15">
      <c r="A461" t="s">
        <v>0</v>
      </c>
      <c r="K461" t="s">
        <v>0</v>
      </c>
    </row>
    <row r="462" spans="4:10" ht="15">
      <c r="D462" t="s">
        <v>121</v>
      </c>
      <c r="E462" s="48">
        <f>'Other Costs'!G90</f>
        <v>2450</v>
      </c>
      <c r="G462" t="s">
        <v>423</v>
      </c>
      <c r="J462" s="25"/>
    </row>
    <row r="463" spans="4:10" ht="15">
      <c r="D463" s="35" t="s">
        <v>117</v>
      </c>
      <c r="E463" s="19">
        <f>Input!G14</f>
        <v>99</v>
      </c>
      <c r="G463" s="14" t="s">
        <v>170</v>
      </c>
      <c r="J463" s="25"/>
    </row>
    <row r="464" spans="4:10" ht="15">
      <c r="D464" s="46" t="s">
        <v>119</v>
      </c>
      <c r="E464" s="48">
        <f>E462/E463</f>
        <v>24.747474747474747</v>
      </c>
      <c r="G464" s="24" t="s">
        <v>120</v>
      </c>
      <c r="J464" s="25"/>
    </row>
    <row r="466" spans="4:10" ht="15.75">
      <c r="D466" s="153" t="s">
        <v>119</v>
      </c>
      <c r="E466" s="154">
        <f>E460+E464</f>
        <v>1124.7474747474748</v>
      </c>
      <c r="F466" s="33"/>
      <c r="G466" s="33" t="s">
        <v>424</v>
      </c>
      <c r="J466" s="25"/>
    </row>
    <row r="467" s="178" customFormat="1" ht="7.5" customHeight="1"/>
    <row r="468" spans="1:17" ht="15.75">
      <c r="A468" s="203" t="s">
        <v>449</v>
      </c>
      <c r="B468" s="203"/>
      <c r="C468" s="203"/>
      <c r="D468" s="203"/>
      <c r="E468" s="204"/>
      <c r="F468" s="205"/>
      <c r="G468" s="205"/>
      <c r="H468" s="205"/>
      <c r="I468" s="205"/>
      <c r="J468" s="210" t="s">
        <v>452</v>
      </c>
      <c r="K468" s="212"/>
      <c r="L468" s="190"/>
      <c r="M468" s="190"/>
      <c r="N468" s="190"/>
      <c r="O468" s="189"/>
      <c r="P468" s="191"/>
      <c r="Q468" s="191"/>
    </row>
    <row r="469" spans="1:17" ht="15.75">
      <c r="A469" s="206" t="s">
        <v>450</v>
      </c>
      <c r="B469" s="207"/>
      <c r="C469" s="208"/>
      <c r="D469" s="208"/>
      <c r="E469" s="208"/>
      <c r="F469" s="209"/>
      <c r="G469" s="190"/>
      <c r="H469" s="190"/>
      <c r="I469" s="190"/>
      <c r="J469" s="190"/>
      <c r="K469" s="190"/>
      <c r="L469" s="190"/>
      <c r="M469" s="190"/>
      <c r="N469" s="190"/>
      <c r="O469" s="189"/>
      <c r="P469" s="191"/>
      <c r="Q469" s="191"/>
    </row>
    <row r="470" spans="1:17" ht="15.75">
      <c r="A470" s="202" t="s">
        <v>408</v>
      </c>
      <c r="B470" s="201"/>
      <c r="C470" s="194"/>
      <c r="D470" s="194"/>
      <c r="E470" s="194"/>
      <c r="F470" s="194"/>
      <c r="G470" s="195" t="s">
        <v>433</v>
      </c>
      <c r="H470" s="194"/>
      <c r="I470" s="194"/>
      <c r="J470" s="194"/>
      <c r="K470" s="194"/>
      <c r="L470" s="194"/>
      <c r="M470" s="194"/>
      <c r="N470" s="194"/>
      <c r="O470" s="194"/>
      <c r="P470" s="194"/>
      <c r="Q470" s="194"/>
    </row>
    <row r="471" spans="1:11" ht="15">
      <c r="A471" s="200" t="s">
        <v>441</v>
      </c>
      <c r="B471" s="192"/>
      <c r="C471" s="192"/>
      <c r="D471" s="192"/>
      <c r="E471" s="192"/>
      <c r="F471" s="192"/>
      <c r="G471" s="211" t="s">
        <v>456</v>
      </c>
      <c r="H471" s="192"/>
      <c r="I471" s="192"/>
      <c r="J471" s="192"/>
      <c r="K471" s="192"/>
    </row>
    <row r="472" spans="1:11" ht="15">
      <c r="A472" s="192"/>
      <c r="B472" s="192"/>
      <c r="C472" s="192"/>
      <c r="D472" s="192"/>
      <c r="E472" s="192"/>
      <c r="F472" s="192"/>
      <c r="G472" s="197"/>
      <c r="H472" s="192"/>
      <c r="I472" s="192"/>
      <c r="J472" s="192"/>
      <c r="K472" s="192"/>
    </row>
    <row r="473" spans="1:11" ht="15.75">
      <c r="A473" s="193" t="s">
        <v>442</v>
      </c>
      <c r="B473" s="198"/>
      <c r="C473" s="198"/>
      <c r="D473" s="198"/>
      <c r="E473" s="198"/>
      <c r="F473" s="198"/>
      <c r="G473" s="199"/>
      <c r="H473" s="198"/>
      <c r="I473" s="198"/>
      <c r="J473" s="198"/>
      <c r="K473" s="198"/>
    </row>
    <row r="474" spans="1:11" ht="15">
      <c r="A474" s="211" t="s">
        <v>456</v>
      </c>
      <c r="B474" s="197"/>
      <c r="C474" s="196"/>
      <c r="D474" s="196"/>
      <c r="E474" s="197"/>
      <c r="F474" s="197"/>
      <c r="G474" s="196"/>
      <c r="H474" s="196"/>
      <c r="I474" s="196"/>
      <c r="J474" s="197"/>
      <c r="K474" s="197"/>
    </row>
    <row r="475" spans="1:11" ht="15">
      <c r="A475" t="s">
        <v>0</v>
      </c>
      <c r="K475" t="s">
        <v>0</v>
      </c>
    </row>
    <row r="476" spans="1:11" ht="15">
      <c r="A476" t="s">
        <v>0</v>
      </c>
      <c r="K476" t="s">
        <v>0</v>
      </c>
    </row>
    <row r="477" spans="1:11" ht="15">
      <c r="A477" t="s">
        <v>0</v>
      </c>
      <c r="K477" t="s">
        <v>0</v>
      </c>
    </row>
    <row r="478" spans="1:11" ht="15">
      <c r="A478" t="s">
        <v>0</v>
      </c>
      <c r="K478" t="s">
        <v>0</v>
      </c>
    </row>
    <row r="479" spans="1:11" ht="15">
      <c r="A479" t="s">
        <v>0</v>
      </c>
      <c r="K479" t="s">
        <v>0</v>
      </c>
    </row>
    <row r="480" spans="1:11" ht="15">
      <c r="A480" t="s">
        <v>0</v>
      </c>
      <c r="K480" t="s">
        <v>0</v>
      </c>
    </row>
    <row r="481" spans="1:11" ht="15">
      <c r="A481" t="s">
        <v>0</v>
      </c>
      <c r="K481" t="s">
        <v>0</v>
      </c>
    </row>
    <row r="482" spans="1:11" ht="15">
      <c r="A482" t="s">
        <v>0</v>
      </c>
      <c r="K482" t="s">
        <v>0</v>
      </c>
    </row>
    <row r="483" ht="15">
      <c r="A483" t="s">
        <v>0</v>
      </c>
    </row>
    <row r="484" spans="1:11" ht="15">
      <c r="A484" t="s">
        <v>0</v>
      </c>
      <c r="K484" t="s">
        <v>0</v>
      </c>
    </row>
    <row r="485" spans="1:11" ht="15">
      <c r="A485" t="s">
        <v>0</v>
      </c>
      <c r="K485" t="s">
        <v>0</v>
      </c>
    </row>
    <row r="486" spans="1:11" ht="15">
      <c r="A486" t="s">
        <v>0</v>
      </c>
      <c r="K486" t="s">
        <v>0</v>
      </c>
    </row>
    <row r="487" spans="1:11" ht="15">
      <c r="A487" t="s">
        <v>0</v>
      </c>
      <c r="K487" t="s">
        <v>0</v>
      </c>
    </row>
    <row r="488" spans="1:11" ht="15">
      <c r="A488" t="s">
        <v>0</v>
      </c>
      <c r="K488" t="s">
        <v>0</v>
      </c>
    </row>
    <row r="489" spans="1:11" ht="15">
      <c r="A489" t="s">
        <v>0</v>
      </c>
      <c r="K489" t="s">
        <v>0</v>
      </c>
    </row>
    <row r="490" spans="1:11" ht="15">
      <c r="A490" t="s">
        <v>0</v>
      </c>
      <c r="K490" t="s">
        <v>0</v>
      </c>
    </row>
    <row r="491" spans="1:11" ht="15">
      <c r="A491" t="s">
        <v>0</v>
      </c>
      <c r="K491" t="s">
        <v>0</v>
      </c>
    </row>
    <row r="492" spans="1:11" ht="15">
      <c r="A492" t="s">
        <v>0</v>
      </c>
      <c r="K492" t="s">
        <v>0</v>
      </c>
    </row>
    <row r="493" spans="1:11" ht="15">
      <c r="A493" t="s">
        <v>0</v>
      </c>
      <c r="K493" t="s">
        <v>0</v>
      </c>
    </row>
    <row r="494" spans="1:11" ht="15">
      <c r="A494" t="s">
        <v>0</v>
      </c>
      <c r="K494" t="s">
        <v>0</v>
      </c>
    </row>
    <row r="495" spans="1:11" ht="15">
      <c r="A495" t="s">
        <v>0</v>
      </c>
      <c r="K495" t="s">
        <v>0</v>
      </c>
    </row>
    <row r="496" spans="1:11" ht="15">
      <c r="A496" t="s">
        <v>0</v>
      </c>
      <c r="K496" t="s">
        <v>0</v>
      </c>
    </row>
    <row r="497" spans="1:11" ht="15">
      <c r="A497" t="s">
        <v>0</v>
      </c>
      <c r="K497" t="s">
        <v>0</v>
      </c>
    </row>
    <row r="498" spans="1:11" ht="15">
      <c r="A498" t="s">
        <v>0</v>
      </c>
      <c r="K498" t="s">
        <v>0</v>
      </c>
    </row>
    <row r="499" spans="1:11" ht="15">
      <c r="A499" t="s">
        <v>0</v>
      </c>
      <c r="K499" t="s">
        <v>0</v>
      </c>
    </row>
    <row r="500" spans="1:11" ht="15">
      <c r="A500" t="s">
        <v>0</v>
      </c>
      <c r="K500" t="s">
        <v>0</v>
      </c>
    </row>
    <row r="501" spans="1:11" ht="15">
      <c r="A501" t="s">
        <v>0</v>
      </c>
      <c r="K501" t="s">
        <v>0</v>
      </c>
    </row>
    <row r="502" spans="1:11" ht="15">
      <c r="A502" t="s">
        <v>0</v>
      </c>
      <c r="K502" t="s">
        <v>0</v>
      </c>
    </row>
    <row r="503" spans="1:11" ht="15">
      <c r="A503" t="s">
        <v>0</v>
      </c>
      <c r="K503" t="s">
        <v>0</v>
      </c>
    </row>
    <row r="504" spans="1:11" ht="15">
      <c r="A504" t="s">
        <v>0</v>
      </c>
      <c r="K504" t="s">
        <v>0</v>
      </c>
    </row>
    <row r="505" spans="1:11" ht="15">
      <c r="A505" t="s">
        <v>0</v>
      </c>
      <c r="K505" t="s">
        <v>0</v>
      </c>
    </row>
    <row r="506" spans="1:11" ht="15">
      <c r="A506" t="s">
        <v>0</v>
      </c>
      <c r="K506" t="s">
        <v>0</v>
      </c>
    </row>
    <row r="507" spans="1:11" ht="15">
      <c r="A507" t="s">
        <v>0</v>
      </c>
      <c r="K507" t="s">
        <v>0</v>
      </c>
    </row>
    <row r="508" spans="1:11" ht="15">
      <c r="A508" t="s">
        <v>0</v>
      </c>
      <c r="K508" t="s">
        <v>0</v>
      </c>
    </row>
    <row r="509" spans="1:11" ht="15">
      <c r="A509" t="s">
        <v>0</v>
      </c>
      <c r="K509" t="s">
        <v>0</v>
      </c>
    </row>
    <row r="510" spans="1:11" ht="15">
      <c r="A510" t="s">
        <v>0</v>
      </c>
      <c r="K510" t="s">
        <v>0</v>
      </c>
    </row>
    <row r="511" spans="1:11" ht="15">
      <c r="A511" t="s">
        <v>0</v>
      </c>
      <c r="K511" t="s">
        <v>0</v>
      </c>
    </row>
    <row r="512" spans="1:11" ht="15">
      <c r="A512" t="s">
        <v>0</v>
      </c>
      <c r="K512" t="s">
        <v>0</v>
      </c>
    </row>
    <row r="513" spans="1:11" ht="15">
      <c r="A513" t="s">
        <v>0</v>
      </c>
      <c r="K513" t="s">
        <v>0</v>
      </c>
    </row>
    <row r="514" spans="1:11" ht="15">
      <c r="A514" t="s">
        <v>0</v>
      </c>
      <c r="K514" t="s">
        <v>0</v>
      </c>
    </row>
    <row r="515" spans="1:11" ht="15">
      <c r="A515" t="s">
        <v>0</v>
      </c>
      <c r="K515" t="s">
        <v>0</v>
      </c>
    </row>
    <row r="516" spans="1:11" ht="15">
      <c r="A516" t="s">
        <v>0</v>
      </c>
      <c r="K516" t="s">
        <v>0</v>
      </c>
    </row>
    <row r="517" spans="1:11" ht="15">
      <c r="A517" t="s">
        <v>0</v>
      </c>
      <c r="K517" t="s">
        <v>0</v>
      </c>
    </row>
    <row r="518" spans="1:11" ht="15">
      <c r="A518" t="s">
        <v>0</v>
      </c>
      <c r="K518" t="s">
        <v>0</v>
      </c>
    </row>
    <row r="519" ht="15">
      <c r="A519" t="s">
        <v>0</v>
      </c>
    </row>
  </sheetData>
  <sheetProtection password="C6A6" sheet="1" objects="1" scenarios="1"/>
  <mergeCells count="7">
    <mergeCell ref="C265:I267"/>
    <mergeCell ref="B1:J1"/>
    <mergeCell ref="C94:C95"/>
    <mergeCell ref="B252:J252"/>
    <mergeCell ref="C76:I77"/>
    <mergeCell ref="C256:I258"/>
    <mergeCell ref="C260:I263"/>
  </mergeCells>
  <hyperlinks>
    <hyperlink ref="A473" r:id="rId1" display="Benjamin Hamm"/>
    <hyperlink ref="A470:B470" r:id="rId2" display="Rob Berry"/>
    <hyperlink ref="G470" r:id="rId3" display="Roy Arnott"/>
  </hyperlinks>
  <printOptions/>
  <pageMargins left="0.7480314960629921" right="0.7480314960629921" top="0.984251968503937" bottom="0.984251968503937" header="0.5118110236220472" footer="0.5118110236220472"/>
  <pageSetup firstPageNumber="9" useFirstPageNumber="1" fitToHeight="9" fitToWidth="1" horizontalDpi="600" verticalDpi="600" orientation="portrait" scale="82" r:id="rId5"/>
  <headerFooter alignWithMargins="0">
    <oddHeader>&amp;L&amp;11Guidelines: Dairy Production Costs &amp;R&amp;11&amp;P</oddHeader>
    <oddFooter>&amp;RManitoba Agriculture</oddFooter>
  </headerFooter>
  <rowBreaks count="8" manualBreakCount="8">
    <brk id="55" max="9" man="1"/>
    <brk id="115" max="9" man="1"/>
    <brk id="173" max="9" man="1"/>
    <brk id="220" max="9" man="1"/>
    <brk id="274" max="9" man="1"/>
    <brk id="329" max="9" man="1"/>
    <brk id="388" max="9" man="1"/>
    <brk id="442" max="9" man="1"/>
  </rowBreaks>
  <ignoredErrors>
    <ignoredError sqref="J274" emptyCellReference="1"/>
  </ignoredErrors>
  <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COP Cow Dairy</dc:title>
  <dc:subject/>
  <dc:creator>Berry, Robert (MAFRI)</dc:creator>
  <cp:keywords/>
  <dc:description/>
  <cp:lastModifiedBy>Roy Arnott</cp:lastModifiedBy>
  <cp:lastPrinted>2017-06-14T16:19:43Z</cp:lastPrinted>
  <dcterms:created xsi:type="dcterms:W3CDTF">2001-04-19T16:17:00Z</dcterms:created>
  <dcterms:modified xsi:type="dcterms:W3CDTF">2017-06-14T16:20:59Z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isplay_urn:schemas-microsoft-com:office:office#Editor">
    <vt:lpwstr>System Account</vt:lpwstr>
  </property>
  <property fmtid="{D5CDD505-2E9C-101B-9397-08002B2CF9AE}" pid="3" name="xd_Signature">
    <vt:lpwstr/>
  </property>
  <property fmtid="{D5CDD505-2E9C-101B-9397-08002B2CF9AE}" pid="4" name="TemplateUrl">
    <vt:lpwstr/>
  </property>
  <property fmtid="{D5CDD505-2E9C-101B-9397-08002B2CF9AE}" pid="5" name="PublishingExpirationDate">
    <vt:lpwstr/>
  </property>
  <property fmtid="{D5CDD505-2E9C-101B-9397-08002B2CF9AE}" pid="6" name="xd_ProgID">
    <vt:lpwstr/>
  </property>
  <property fmtid="{D5CDD505-2E9C-101B-9397-08002B2CF9AE}" pid="7" name="PublishingStartDate">
    <vt:lpwstr/>
  </property>
  <property fmtid="{D5CDD505-2E9C-101B-9397-08002B2CF9AE}" pid="8" name="ContentTypeId">
    <vt:lpwstr>0x010100ACAADE3355E29C4E95B09CD45679A285</vt:lpwstr>
  </property>
  <property fmtid="{D5CDD505-2E9C-101B-9397-08002B2CF9AE}" pid="9" name="_SourceUrl">
    <vt:lpwstr/>
  </property>
  <property fmtid="{D5CDD505-2E9C-101B-9397-08002B2CF9AE}" pid="10" name="_SharedFileIndex">
    <vt:lpwstr/>
  </property>
</Properties>
</file>