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8970" windowHeight="4575" activeTab="0"/>
  </bookViews>
  <sheets>
    <sheet name="Introduction" sheetId="1" r:id="rId1"/>
    <sheet name="Assumptions" sheetId="2" r:id="rId2"/>
    <sheet name="Summary" sheetId="3" r:id="rId3"/>
    <sheet name="Details" sheetId="4" r:id="rId4"/>
  </sheets>
  <definedNames>
    <definedName name="\C">$B$357:$B$357</definedName>
    <definedName name="\D">$B$343:$B$343</definedName>
    <definedName name="\H">$B$337:$B$337</definedName>
    <definedName name="\I">$B$339:$B$339</definedName>
    <definedName name="\K">$B$347:$B$347</definedName>
    <definedName name="\N">$B$359:$B$359</definedName>
    <definedName name="\P">$B$306:$B$306</definedName>
    <definedName name="\S">$B$341:$B$341</definedName>
    <definedName name="\W">$B$349:$B$349</definedName>
    <definedName name="\X">$B$362:$B$362</definedName>
    <definedName name="ALL">$B$316:$B$316</definedName>
    <definedName name="_xlnm.Print_Area" localSheetId="3">'Details'!$A$1:$J$254</definedName>
    <definedName name="_xlnm.Print_Area" localSheetId="0">'Introduction'!$A$1:$G$31</definedName>
    <definedName name="_xlnm.Print_Area" localSheetId="2">'Summary'!$A$1:$I$42</definedName>
    <definedName name="_xlnm.Print_Titles" localSheetId="3">'Details'!$21:$21</definedName>
  </definedNames>
  <calcPr fullCalcOnLoad="1"/>
</workbook>
</file>

<file path=xl/sharedStrings.xml><?xml version="1.0" encoding="utf-8"?>
<sst xmlns="http://schemas.openxmlformats.org/spreadsheetml/2006/main" count="488" uniqueCount="219">
  <si>
    <t/>
  </si>
  <si>
    <t xml:space="preserve"> </t>
  </si>
  <si>
    <t xml:space="preserve">  Buildings &amp; Improvements</t>
  </si>
  <si>
    <t xml:space="preserve">        Round Bale Feeders</t>
  </si>
  <si>
    <t xml:space="preserve">        Well &amp; Pressure System</t>
  </si>
  <si>
    <t xml:space="preserve">  Machinery</t>
  </si>
  <si>
    <t xml:space="preserve">        Tractor &amp; Loader</t>
  </si>
  <si>
    <t xml:space="preserve">        Miscellaneous Machinery</t>
  </si>
  <si>
    <t xml:space="preserve">        Freezer</t>
  </si>
  <si>
    <t xml:space="preserve">  Land &amp; Fence</t>
  </si>
  <si>
    <t>Total Capital Investment</t>
  </si>
  <si>
    <t xml:space="preserve">          </t>
  </si>
  <si>
    <t xml:space="preserve">  Number of Velvet Bulls</t>
  </si>
  <si>
    <t xml:space="preserve">  Velvet Market Price</t>
  </si>
  <si>
    <t xml:space="preserve">  Mortality Rate (%)</t>
  </si>
  <si>
    <t xml:space="preserve">  Replacement Rate (%)</t>
  </si>
  <si>
    <t>Days</t>
  </si>
  <si>
    <t>Feed Prices</t>
  </si>
  <si>
    <t xml:space="preserve">Feed </t>
  </si>
  <si>
    <t>Kg/Day</t>
  </si>
  <si>
    <t>on Feed</t>
  </si>
  <si>
    <t>$/tonne</t>
  </si>
  <si>
    <t>Hay</t>
  </si>
  <si>
    <t>Oats</t>
  </si>
  <si>
    <t>Supplement</t>
  </si>
  <si>
    <t>Marketing &amp; Transportation</t>
  </si>
  <si>
    <t xml:space="preserve">  Land Taxes</t>
  </si>
  <si>
    <t xml:space="preserve">  Utilities</t>
  </si>
  <si>
    <t xml:space="preserve">     Hydro</t>
  </si>
  <si>
    <t xml:space="preserve">     Water</t>
  </si>
  <si>
    <t xml:space="preserve">     Telephone</t>
  </si>
  <si>
    <t xml:space="preserve">  Operating Interest:</t>
  </si>
  <si>
    <t xml:space="preserve">     Bank Rate on Deposits  (%)</t>
  </si>
  <si>
    <t xml:space="preserve">     Bank Rate on Borrowing   (%)</t>
  </si>
  <si>
    <t xml:space="preserve">  Insurance:</t>
  </si>
  <si>
    <t xml:space="preserve">    Cost per $100 Capital Invested in</t>
  </si>
  <si>
    <t xml:space="preserve">       a). Livestock</t>
  </si>
  <si>
    <t xml:space="preserve">       b). Building &amp; Equipment</t>
  </si>
  <si>
    <t xml:space="preserve">   Add'l Coverage for liability ($/year)</t>
  </si>
  <si>
    <t xml:space="preserve">     (%)</t>
  </si>
  <si>
    <t>Annual Hours per Bull</t>
  </si>
  <si>
    <t>Hourly Labour Rate</t>
  </si>
  <si>
    <t>A.  OPERATING COSTS</t>
  </si>
  <si>
    <t>$/BULL</t>
  </si>
  <si>
    <t>$/LB</t>
  </si>
  <si>
    <t>TOTAL</t>
  </si>
  <si>
    <t>1.  Feed Costs:</t>
  </si>
  <si>
    <t xml:space="preserve">    1.01   Hay</t>
  </si>
  <si>
    <t xml:space="preserve">    1.02   Grain</t>
  </si>
  <si>
    <t xml:space="preserve">    1.03   Salt &amp; Minerals/Supplements</t>
  </si>
  <si>
    <t xml:space="preserve">    Total Feed Cost</t>
  </si>
  <si>
    <t>2.  Other Operating Costs:</t>
  </si>
  <si>
    <t xml:space="preserve">    2.01   Vet. Medicine &amp; Supplies</t>
  </si>
  <si>
    <t xml:space="preserve">    2.02   Fuel, Mtce. &amp; Repairs</t>
  </si>
  <si>
    <t xml:space="preserve">    2.03   Utilities</t>
  </si>
  <si>
    <t xml:space="preserve">    2.04   Marketing Costs</t>
  </si>
  <si>
    <t xml:space="preserve">    2.05   Death Loss</t>
  </si>
  <si>
    <t xml:space="preserve">    2.06   Insurance</t>
  </si>
  <si>
    <t xml:space="preserve">    2.07   Herd Replacement</t>
  </si>
  <si>
    <t xml:space="preserve">    2.08   Land Taxes</t>
  </si>
  <si>
    <t xml:space="preserve">    2.09   Miscellaneous</t>
  </si>
  <si>
    <t xml:space="preserve">    Subtotal Operating Costs</t>
  </si>
  <si>
    <t xml:space="preserve">    2.10   Operating Interest</t>
  </si>
  <si>
    <t>TOTAL OPERATING COSTS</t>
  </si>
  <si>
    <t>B.  FIXED COSTS</t>
  </si>
  <si>
    <t>3.  Depreciation</t>
  </si>
  <si>
    <t xml:space="preserve">    3.01   Buildings</t>
  </si>
  <si>
    <t xml:space="preserve">    3.02   Machinery &amp; Equipment</t>
  </si>
  <si>
    <t xml:space="preserve">    3.03   Fence</t>
  </si>
  <si>
    <t>4.  Investment</t>
  </si>
  <si>
    <t xml:space="preserve">    4.01   Buildings</t>
  </si>
  <si>
    <t xml:space="preserve">    4.02   Machinery &amp; Equipment</t>
  </si>
  <si>
    <t xml:space="preserve">    4.03   Livestock</t>
  </si>
  <si>
    <t xml:space="preserve">    4.04   Pasture Land &amp; Fencing</t>
  </si>
  <si>
    <t>TOTAL FIXED COSTS</t>
  </si>
  <si>
    <t>C.  LABOUR COSTS</t>
  </si>
  <si>
    <t>TOTAL COST OF PRODUCTION</t>
  </si>
  <si>
    <t xml:space="preserve">   1.01  Hay Costs</t>
  </si>
  <si>
    <t>kg hay/day</t>
  </si>
  <si>
    <t>x</t>
  </si>
  <si>
    <t>days/year</t>
  </si>
  <si>
    <t>÷</t>
  </si>
  <si>
    <t>kg/tonne</t>
  </si>
  <si>
    <t>/tonne</t>
  </si>
  <si>
    <t>=</t>
  </si>
  <si>
    <t xml:space="preserve">   1.02  Grain Costs</t>
  </si>
  <si>
    <t>kg oats/day</t>
  </si>
  <si>
    <t xml:space="preserve">   1.03  Supplement Costs</t>
  </si>
  <si>
    <t>kg supp/day</t>
  </si>
  <si>
    <t xml:space="preserve">   2.01  Veterinary Medicine &amp; Supplies</t>
  </si>
  <si>
    <t>+</t>
  </si>
  <si>
    <t xml:space="preserve">   2.02  Fuel, Oil, Repairs &amp; Maintenance</t>
  </si>
  <si>
    <t xml:space="preserve">       Machinery</t>
  </si>
  <si>
    <t xml:space="preserve">      Buildings,Fences etc.</t>
  </si>
  <si>
    <t>Total</t>
  </si>
  <si>
    <t xml:space="preserve">  2.03  Utilities</t>
  </si>
  <si>
    <t xml:space="preserve">   2.04  Marketing Costs</t>
  </si>
  <si>
    <t xml:space="preserve">   2.05  Death Loss</t>
  </si>
  <si>
    <t>/bull investment</t>
  </si>
  <si>
    <t>(%) Mortality Rate</t>
  </si>
  <si>
    <t xml:space="preserve">   2.06  Insurance</t>
  </si>
  <si>
    <t xml:space="preserve">         Total Insurance</t>
  </si>
  <si>
    <t xml:space="preserve">  2.07   Herd Replacement</t>
  </si>
  <si>
    <t>/replacement bull</t>
  </si>
  <si>
    <t>-</t>
  </si>
  <si>
    <t>% replacement rate</t>
  </si>
  <si>
    <t xml:space="preserve">   2.08  Land Taxes</t>
  </si>
  <si>
    <t xml:space="preserve">   2.09  Miscellaneous</t>
  </si>
  <si>
    <t xml:space="preserve">   2.10  Operating Interest</t>
  </si>
  <si>
    <t>% operating interest rate</t>
  </si>
  <si>
    <t>3.  Depreciation:</t>
  </si>
  <si>
    <t xml:space="preserve">   3.01  Buildings &amp; Improvements</t>
  </si>
  <si>
    <t>years useful life</t>
  </si>
  <si>
    <t xml:space="preserve">   3.02  Machinery &amp; Equipment</t>
  </si>
  <si>
    <t xml:space="preserve">   3.03  Fence</t>
  </si>
  <si>
    <t>4.  Investment:</t>
  </si>
  <si>
    <t xml:space="preserve">   4.01  Buildings &amp; Improvements</t>
  </si>
  <si>
    <t xml:space="preserve">   4.02  Machinery &amp; Equipment</t>
  </si>
  <si>
    <t>average</t>
  </si>
  <si>
    <t xml:space="preserve">   4.03  Livestock</t>
  </si>
  <si>
    <t>/bull</t>
  </si>
  <si>
    <t xml:space="preserve">   4.04  Pasture Land &amp; Fencing</t>
  </si>
  <si>
    <t xml:space="preserve">Total </t>
  </si>
  <si>
    <t>Guidelines for Estimating</t>
  </si>
  <si>
    <t>Elk Velvet Bull Costs</t>
  </si>
  <si>
    <t>Your Cost</t>
  </si>
  <si>
    <t>Assumptions</t>
  </si>
  <si>
    <t>2. All feed is valued at fair market value.</t>
  </si>
  <si>
    <t>Capital Costs</t>
  </si>
  <si>
    <t>Prepared by:</t>
  </si>
  <si>
    <t>Farm Management Specialist</t>
  </si>
  <si>
    <t>Peter Blawat  P.Ag.</t>
  </si>
  <si>
    <t>For more information contact your local Manitoba Agriculture and Food office.</t>
  </si>
  <si>
    <t>Bill Steeds P.Ag.</t>
  </si>
  <si>
    <t>Manager Livestock Section</t>
  </si>
  <si>
    <t>Original Value - Salvage Value</t>
  </si>
  <si>
    <t>Useful Life</t>
  </si>
  <si>
    <r>
      <t>Original Value + Salvage Value</t>
    </r>
    <r>
      <rPr>
        <b/>
        <i/>
        <sz val="12"/>
        <rFont val="Arial"/>
        <family val="2"/>
      </rPr>
      <t xml:space="preserve">   x Investment Rate</t>
    </r>
  </si>
  <si>
    <t>salvage value</t>
  </si>
  <si>
    <t>bulls</t>
  </si>
  <si>
    <t>original Value</t>
  </si>
  <si>
    <t>original value</t>
  </si>
  <si>
    <t>hours/bull</t>
  </si>
  <si>
    <t>hourly rate</t>
  </si>
  <si>
    <t>annual fuel cost</t>
  </si>
  <si>
    <t>oil, repairs &amp; maintenance</t>
  </si>
  <si>
    <t>total cost</t>
  </si>
  <si>
    <t>annual repair &amp; mtc.</t>
  </si>
  <si>
    <t>annual utilities costs</t>
  </si>
  <si>
    <t>marketing antlers &amp; culls</t>
  </si>
  <si>
    <t>bldg &amp; equip investment</t>
  </si>
  <si>
    <t>herd investment</t>
  </si>
  <si>
    <t>cost/$100 capital</t>
  </si>
  <si>
    <t>add'l coverage for liability</t>
  </si>
  <si>
    <t>net cost</t>
  </si>
  <si>
    <t>land taxes</t>
  </si>
  <si>
    <t>license</t>
  </si>
  <si>
    <t>subtotal operating costs</t>
  </si>
  <si>
    <t>original building value</t>
  </si>
  <si>
    <t xml:space="preserve">        Waterers </t>
  </si>
  <si>
    <t xml:space="preserve">        Hydro (1 pole @ $400)</t>
  </si>
  <si>
    <t xml:space="preserve"> ELK VELVET BULL PROFILE</t>
  </si>
  <si>
    <t xml:space="preserve"> Feed Requirements and Costs</t>
  </si>
  <si>
    <t>Vet, Medicine and Supplies</t>
  </si>
  <si>
    <t xml:space="preserve"> FUEL, OIL, REPAIRS &amp; MAINTENANCE</t>
  </si>
  <si>
    <t>CAPITAL COSTS</t>
  </si>
  <si>
    <t xml:space="preserve">       Miscellaneous </t>
  </si>
  <si>
    <t xml:space="preserve">       Freezer</t>
  </si>
  <si>
    <t xml:space="preserve">      Miscellaneous </t>
  </si>
  <si>
    <t xml:space="preserve">      Fence Investment</t>
  </si>
  <si>
    <t xml:space="preserve">       Land Investment </t>
  </si>
  <si>
    <t xml:space="preserve">        Building </t>
  </si>
  <si>
    <t xml:space="preserve">        Handling Facilities</t>
  </si>
  <si>
    <t xml:space="preserve">        Quad</t>
  </si>
  <si>
    <t xml:space="preserve">    Tractor, Loader &amp; Quad</t>
  </si>
  <si>
    <t xml:space="preserve">   Tractor, Loader &amp; Quad</t>
  </si>
  <si>
    <t>Ian Thorliefson</t>
  </si>
  <si>
    <t>Elk Specialist</t>
  </si>
  <si>
    <t>The budget estimates are based on a number of assumptions which are clearly defined in the supporting pages. Productivity and performance assumptions are based on data supplied by specialists as well as data collected from certain producers. Input costs are based on recommended practices and/or information obtained from producers. Good management is assumed in that a balanced ration is being fed, livestock are on a herd health program and handling facilities are included.</t>
  </si>
  <si>
    <t xml:space="preserve">The guideline can be useful for comparison purposes. Comparison of costs at different levels of production can be made with other farms; the farm over time to track profits or losses; or comparing the plan with the actual production at the end of the planning period.  </t>
  </si>
  <si>
    <r>
      <t>Disclaimer</t>
    </r>
    <r>
      <rPr>
        <sz val="12"/>
        <rFont val="Arial"/>
        <family val="2"/>
      </rPr>
      <t>: This budget is only a guide and is not intended as an in depth study of the cost of production of the Manitoba Elk industry. Interpretation and utilization of this information is the responsibility of the user. If you require assistance with developing your individual budget, please contact your local MAF Farm Management Specialist or Livestock Specialist.</t>
    </r>
  </si>
  <si>
    <t>Parasite control $/head</t>
  </si>
  <si>
    <t>Other $/head</t>
  </si>
  <si>
    <t>parasite control</t>
  </si>
  <si>
    <t>other vet &amp; med</t>
  </si>
  <si>
    <t xml:space="preserve">  a) Machinery   -  total fuel costs</t>
  </si>
  <si>
    <t xml:space="preserve">                           -  total repairs</t>
  </si>
  <si>
    <t xml:space="preserve">  b) Total buildings,fences etc.</t>
  </si>
  <si>
    <t>Antlers &amp; culls total cost</t>
  </si>
  <si>
    <t>Original</t>
  </si>
  <si>
    <t>Value</t>
  </si>
  <si>
    <t>Salvage</t>
  </si>
  <si>
    <t>Useful</t>
  </si>
  <si>
    <t>Life</t>
  </si>
  <si>
    <t xml:space="preserve">    (yrs)</t>
  </si>
  <si>
    <t xml:space="preserve">        Total Machinery Cost</t>
  </si>
  <si>
    <t xml:space="preserve">        Total Building Cost</t>
  </si>
  <si>
    <t xml:space="preserve">        Total Land &amp; Fence</t>
  </si>
  <si>
    <t>Labour Costs</t>
  </si>
  <si>
    <t xml:space="preserve">  Percentage of culls sold for meat</t>
  </si>
  <si>
    <t xml:space="preserve">  Percentage of culls sold for hunting</t>
  </si>
  <si>
    <t xml:space="preserve">  Value Cull Bulls sold for meat</t>
  </si>
  <si>
    <t xml:space="preserve">  Value Cull Bulls sold for hunting </t>
  </si>
  <si>
    <t xml:space="preserve">  Average value of cull sold</t>
  </si>
  <si>
    <t xml:space="preserve">  Average value of Velvet Bull </t>
  </si>
  <si>
    <t>License fee per year</t>
  </si>
  <si>
    <t>Other costs total per year</t>
  </si>
  <si>
    <t>other costs</t>
  </si>
  <si>
    <t xml:space="preserve">  Average Velvet Production (lbs/head)</t>
  </si>
  <si>
    <t xml:space="preserve">  Pasture Acres</t>
  </si>
  <si>
    <t xml:space="preserve">  Value of pasture per  acre</t>
  </si>
  <si>
    <t xml:space="preserve">  Total fence distance - miles</t>
  </si>
  <si>
    <t xml:space="preserve">  Fence Cost - per mile</t>
  </si>
  <si>
    <t xml:space="preserve">  Value of Bulls</t>
  </si>
  <si>
    <t>/cull (meat &amp; trophy sales)</t>
  </si>
  <si>
    <t xml:space="preserve">  Miscellaneous</t>
  </si>
  <si>
    <t>% investment rate</t>
  </si>
  <si>
    <r>
      <t>Disclaimer:</t>
    </r>
    <r>
      <rPr>
        <sz val="9"/>
        <rFont val="Arial"/>
        <family val="2"/>
      </rPr>
      <t xml:space="preserve"> This budget is only a guide and is not intended as an in depth study of the cost of production of this industry. Interpretation and utilization of this information is the responsibility of the user.</t>
    </r>
  </si>
  <si>
    <t>September, 2003</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</si>
</sst>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mmmm/yy"/>
    <numFmt numFmtId="174" formatCode="mmmm\ d\,\ yyyy"/>
    <numFmt numFmtId="175" formatCode="&quot;$&quot;#,##0"/>
    <numFmt numFmtId="176" formatCode="mmm/yyyy"/>
    <numFmt numFmtId="177" formatCode="mmmm/yyyy"/>
    <numFmt numFmtId="178" formatCode="&quot;$&quot;#,##0.00"/>
    <numFmt numFmtId="179" formatCode="&quot;$&quot;#,##0.0"/>
    <numFmt numFmtId="180" formatCode="0.0"/>
    <numFmt numFmtId="181" formatCode="#,##0.000"/>
  </numFmts>
  <fonts count="19">
    <font>
      <sz val="12"/>
      <name val="Arial"/>
      <family val="0"/>
    </font>
    <font>
      <b/>
      <u val="single"/>
      <sz val="12"/>
      <name val="Arial"/>
      <family val="0"/>
    </font>
    <font>
      <sz val="12"/>
      <name val="Times New Roman"/>
      <family val="0"/>
    </font>
    <font>
      <b/>
      <sz val="12"/>
      <name val="Times New Roman"/>
      <family val="0"/>
    </font>
    <font>
      <b/>
      <sz val="12"/>
      <name val="Arial"/>
      <family val="0"/>
    </font>
    <font>
      <u val="single"/>
      <sz val="12"/>
      <name val="Arial"/>
      <family val="0"/>
    </font>
    <font>
      <b/>
      <sz val="14"/>
      <name val="Arial"/>
      <family val="0"/>
    </font>
    <font>
      <b/>
      <u val="single"/>
      <sz val="14"/>
      <name val="Arial"/>
      <family val="2"/>
    </font>
    <font>
      <sz val="14"/>
      <name val="Arial"/>
      <family val="2"/>
    </font>
    <font>
      <b/>
      <i/>
      <u val="single"/>
      <sz val="12"/>
      <name val="Arial"/>
      <family val="2"/>
    </font>
    <font>
      <b/>
      <i/>
      <sz val="12"/>
      <name val="Arial"/>
      <family val="2"/>
    </font>
    <font>
      <b/>
      <sz val="18"/>
      <name val="Arial"/>
      <family val="2"/>
    </font>
    <font>
      <b/>
      <sz val="12"/>
      <color indexed="12"/>
      <name val="Arial"/>
      <family val="2"/>
    </font>
    <font>
      <b/>
      <u val="single"/>
      <sz val="12"/>
      <color indexed="12"/>
      <name val="Arial"/>
      <family val="2"/>
    </font>
    <font>
      <b/>
      <sz val="26"/>
      <name val="Arial"/>
      <family val="2"/>
    </font>
    <font>
      <sz val="26"/>
      <name val="Arial"/>
      <family val="2"/>
    </font>
    <font>
      <b/>
      <sz val="9"/>
      <name val="Arial"/>
      <family val="2"/>
    </font>
    <font>
      <sz val="9"/>
      <name val="Arial"/>
      <family val="2"/>
    </font>
    <font>
      <b/>
      <sz val="12"/>
      <color indexed="48"/>
      <name val="Arial"/>
      <family val="2"/>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style="thin"/>
    </border>
  </borders>
  <cellStyleXfs count="16">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178" fontId="0" fillId="0" borderId="0">
      <alignment vertical="top"/>
      <protection/>
    </xf>
  </cellStyleXfs>
  <cellXfs count="116">
    <xf numFmtId="3" fontId="0" fillId="0" borderId="0" xfId="0" applyAlignment="1">
      <alignment/>
    </xf>
    <xf numFmtId="7" fontId="0" fillId="0" borderId="0" xfId="0" applyNumberFormat="1" applyAlignment="1">
      <alignment/>
    </xf>
    <xf numFmtId="5" fontId="0" fillId="0" borderId="0" xfId="0" applyNumberFormat="1" applyAlignment="1">
      <alignment/>
    </xf>
    <xf numFmtId="4" fontId="0" fillId="0" borderId="0" xfId="0" applyNumberFormat="1" applyAlignment="1">
      <alignment/>
    </xf>
    <xf numFmtId="2" fontId="0" fillId="0" borderId="0" xfId="0" applyNumberFormat="1" applyAlignment="1">
      <alignment/>
    </xf>
    <xf numFmtId="0" fontId="4" fillId="0" borderId="0" xfId="0" applyNumberFormat="1" applyFont="1" applyAlignment="1">
      <alignment/>
    </xf>
    <xf numFmtId="4" fontId="5" fillId="0" borderId="0" xfId="0" applyNumberFormat="1" applyFont="1" applyAlignment="1">
      <alignment/>
    </xf>
    <xf numFmtId="0" fontId="5" fillId="0" borderId="0" xfId="0" applyNumberFormat="1" applyFont="1" applyAlignment="1">
      <alignment/>
    </xf>
    <xf numFmtId="7" fontId="4" fillId="0" borderId="0" xfId="0" applyNumberFormat="1" applyFont="1" applyAlignment="1">
      <alignment/>
    </xf>
    <xf numFmtId="5" fontId="4" fillId="0" borderId="0" xfId="0" applyNumberFormat="1" applyFont="1" applyAlignment="1">
      <alignment/>
    </xf>
    <xf numFmtId="7" fontId="1" fillId="0" borderId="0" xfId="0" applyNumberFormat="1" applyFont="1" applyAlignment="1">
      <alignment horizontal="right"/>
    </xf>
    <xf numFmtId="5" fontId="1" fillId="0" borderId="0" xfId="0" applyNumberFormat="1" applyFont="1" applyAlignment="1">
      <alignment horizontal="right"/>
    </xf>
    <xf numFmtId="3" fontId="4" fillId="0" borderId="0" xfId="0" applyFont="1" applyAlignment="1">
      <alignment horizontal="right"/>
    </xf>
    <xf numFmtId="3" fontId="1" fillId="0" borderId="0" xfId="0" applyFont="1" applyAlignment="1">
      <alignment horizontal="right"/>
    </xf>
    <xf numFmtId="3" fontId="0" fillId="0" borderId="1" xfId="0" applyBorder="1" applyAlignment="1">
      <alignment/>
    </xf>
    <xf numFmtId="3" fontId="0" fillId="0" borderId="2" xfId="0" applyBorder="1" applyAlignment="1">
      <alignment/>
    </xf>
    <xf numFmtId="3" fontId="0" fillId="0" borderId="0" xfId="0" applyBorder="1" applyAlignment="1">
      <alignment/>
    </xf>
    <xf numFmtId="3" fontId="0" fillId="0" borderId="0" xfId="0" applyAlignment="1">
      <alignment horizontal="center"/>
    </xf>
    <xf numFmtId="3" fontId="12" fillId="0" borderId="0" xfId="0" applyFont="1" applyAlignment="1" applyProtection="1">
      <alignment/>
      <protection locked="0"/>
    </xf>
    <xf numFmtId="5" fontId="12" fillId="0" borderId="0" xfId="0" applyNumberFormat="1" applyFont="1" applyAlignment="1" applyProtection="1">
      <alignment/>
      <protection locked="0"/>
    </xf>
    <xf numFmtId="7" fontId="12" fillId="0" borderId="0" xfId="0" applyNumberFormat="1" applyFont="1" applyAlignment="1" applyProtection="1">
      <alignment/>
      <protection locked="0"/>
    </xf>
    <xf numFmtId="172" fontId="12" fillId="0" borderId="0" xfId="0" applyNumberFormat="1" applyFont="1" applyAlignment="1" applyProtection="1">
      <alignment/>
      <protection locked="0"/>
    </xf>
    <xf numFmtId="4" fontId="12" fillId="0" borderId="0" xfId="0" applyNumberFormat="1" applyFont="1" applyAlignment="1" applyProtection="1">
      <alignment/>
      <protection locked="0"/>
    </xf>
    <xf numFmtId="2" fontId="12" fillId="0" borderId="0" xfId="0" applyNumberFormat="1" applyFont="1" applyAlignment="1" applyProtection="1">
      <alignment/>
      <protection locked="0"/>
    </xf>
    <xf numFmtId="175" fontId="12" fillId="0" borderId="0" xfId="0" applyNumberFormat="1" applyFont="1" applyAlignment="1" applyProtection="1">
      <alignment/>
      <protection locked="0"/>
    </xf>
    <xf numFmtId="175" fontId="13" fillId="0" borderId="0" xfId="0" applyNumberFormat="1" applyFont="1" applyAlignment="1" applyProtection="1">
      <alignment/>
      <protection locked="0"/>
    </xf>
    <xf numFmtId="175" fontId="4" fillId="0" borderId="0" xfId="0" applyNumberFormat="1" applyFont="1" applyAlignment="1" applyProtection="1">
      <alignment/>
      <protection/>
    </xf>
    <xf numFmtId="175" fontId="1" fillId="0" borderId="0" xfId="0" applyNumberFormat="1" applyFont="1" applyAlignment="1" applyProtection="1">
      <alignment/>
      <protection/>
    </xf>
    <xf numFmtId="3" fontId="17" fillId="0" borderId="0" xfId="0" applyFont="1" applyAlignment="1">
      <alignment vertical="top"/>
    </xf>
    <xf numFmtId="3" fontId="0" fillId="0" borderId="0" xfId="0" applyAlignment="1" applyProtection="1">
      <alignment vertical="top"/>
      <protection/>
    </xf>
    <xf numFmtId="177" fontId="6" fillId="0" borderId="0" xfId="0" applyNumberFormat="1" applyFont="1" applyAlignment="1" applyProtection="1">
      <alignment horizontal="right"/>
      <protection/>
    </xf>
    <xf numFmtId="0" fontId="0" fillId="0" borderId="0" xfId="0" applyNumberFormat="1" applyAlignment="1" applyProtection="1">
      <alignment/>
      <protection/>
    </xf>
    <xf numFmtId="3" fontId="0" fillId="0" borderId="0" xfId="0" applyAlignment="1" applyProtection="1">
      <alignment/>
      <protection/>
    </xf>
    <xf numFmtId="3" fontId="0" fillId="0" borderId="0" xfId="0" applyAlignment="1" applyProtection="1">
      <alignment/>
      <protection/>
    </xf>
    <xf numFmtId="174" fontId="6" fillId="0" borderId="0" xfId="0" applyNumberFormat="1" applyFont="1" applyAlignment="1" applyProtection="1">
      <alignment/>
      <protection/>
    </xf>
    <xf numFmtId="3" fontId="0" fillId="0" borderId="0" xfId="0" applyAlignment="1" applyProtection="1">
      <alignment vertical="top" wrapText="1"/>
      <protection/>
    </xf>
    <xf numFmtId="3" fontId="8" fillId="0" borderId="0" xfId="0" applyFont="1" applyAlignment="1" applyProtection="1">
      <alignment/>
      <protection/>
    </xf>
    <xf numFmtId="3" fontId="8" fillId="0" borderId="0" xfId="0" applyFont="1" applyAlignment="1" applyProtection="1">
      <alignment/>
      <protection/>
    </xf>
    <xf numFmtId="7" fontId="0" fillId="0" borderId="0" xfId="0" applyNumberFormat="1" applyAlignment="1" applyProtection="1">
      <alignment/>
      <protection/>
    </xf>
    <xf numFmtId="5" fontId="0" fillId="0" borderId="0" xfId="0" applyNumberFormat="1" applyAlignment="1" applyProtection="1">
      <alignment/>
      <protection/>
    </xf>
    <xf numFmtId="0" fontId="6" fillId="0" borderId="0" xfId="0" applyNumberFormat="1" applyFont="1" applyAlignment="1" applyProtection="1">
      <alignment/>
      <protection/>
    </xf>
    <xf numFmtId="0" fontId="4" fillId="0" borderId="0" xfId="0" applyNumberFormat="1" applyFont="1" applyAlignment="1" applyProtection="1">
      <alignment/>
      <protection/>
    </xf>
    <xf numFmtId="5" fontId="4" fillId="0" borderId="0" xfId="0" applyNumberFormat="1" applyFont="1" applyAlignment="1" applyProtection="1">
      <alignment/>
      <protection/>
    </xf>
    <xf numFmtId="178" fontId="4" fillId="0" borderId="0" xfId="0" applyNumberFormat="1" applyFont="1" applyAlignment="1" applyProtection="1">
      <alignment/>
      <protection/>
    </xf>
    <xf numFmtId="3" fontId="4" fillId="0" borderId="0" xfId="0" applyFont="1" applyAlignment="1" applyProtection="1">
      <alignment/>
      <protection/>
    </xf>
    <xf numFmtId="7" fontId="4" fillId="0" borderId="0" xfId="0" applyNumberFormat="1" applyFont="1" applyAlignment="1" applyProtection="1">
      <alignment horizontal="center"/>
      <protection/>
    </xf>
    <xf numFmtId="3" fontId="4" fillId="0" borderId="0" xfId="0" applyFont="1" applyAlignment="1" applyProtection="1">
      <alignment horizontal="center"/>
      <protection/>
    </xf>
    <xf numFmtId="0" fontId="5" fillId="0" borderId="0" xfId="0" applyNumberFormat="1" applyFont="1" applyAlignment="1" applyProtection="1">
      <alignment/>
      <protection/>
    </xf>
    <xf numFmtId="0" fontId="1" fillId="0" borderId="0" xfId="0" applyNumberFormat="1" applyFont="1" applyAlignment="1" applyProtection="1">
      <alignment horizontal="center"/>
      <protection/>
    </xf>
    <xf numFmtId="172" fontId="0" fillId="0" borderId="0" xfId="0" applyNumberFormat="1" applyAlignment="1" applyProtection="1">
      <alignment/>
      <protection/>
    </xf>
    <xf numFmtId="3" fontId="1" fillId="0" borderId="0" xfId="0" applyFont="1" applyAlignment="1" applyProtection="1">
      <alignment horizontal="center"/>
      <protection/>
    </xf>
    <xf numFmtId="7" fontId="1" fillId="0" borderId="0" xfId="0" applyNumberFormat="1" applyFont="1" applyAlignment="1" applyProtection="1">
      <alignment horizontal="center"/>
      <protection/>
    </xf>
    <xf numFmtId="3" fontId="1" fillId="0" borderId="0" xfId="0" applyFont="1" applyAlignment="1" applyProtection="1">
      <alignment/>
      <protection/>
    </xf>
    <xf numFmtId="3" fontId="5" fillId="0" borderId="0" xfId="0" applyFont="1" applyAlignment="1" applyProtection="1">
      <alignment/>
      <protection/>
    </xf>
    <xf numFmtId="5" fontId="4" fillId="0" borderId="0" xfId="0" applyNumberFormat="1" applyFont="1" applyAlignment="1" applyProtection="1">
      <alignment/>
      <protection/>
    </xf>
    <xf numFmtId="3" fontId="0" fillId="0" borderId="0" xfId="0" applyFont="1" applyAlignment="1" applyProtection="1">
      <alignment/>
      <protection/>
    </xf>
    <xf numFmtId="0" fontId="2" fillId="0" borderId="0" xfId="0" applyNumberFormat="1" applyFont="1" applyAlignment="1" applyProtection="1">
      <alignment/>
      <protection/>
    </xf>
    <xf numFmtId="3" fontId="0" fillId="0" borderId="0" xfId="0" applyAlignment="1" applyProtection="1">
      <alignment horizontal="center"/>
      <protection/>
    </xf>
    <xf numFmtId="3" fontId="0" fillId="0" borderId="0" xfId="0" applyFont="1" applyAlignment="1" applyProtection="1">
      <alignment vertical="top"/>
      <protection/>
    </xf>
    <xf numFmtId="3" fontId="0" fillId="0" borderId="0" xfId="0" applyFont="1" applyAlignment="1" applyProtection="1">
      <alignment wrapText="1"/>
      <protection/>
    </xf>
    <xf numFmtId="3" fontId="0" fillId="0" borderId="0" xfId="0" applyFont="1" applyAlignment="1" applyProtection="1">
      <alignment/>
      <protection/>
    </xf>
    <xf numFmtId="3" fontId="0" fillId="0" borderId="0" xfId="0" applyFont="1" applyAlignment="1" applyProtection="1" quotePrefix="1">
      <alignment/>
      <protection/>
    </xf>
    <xf numFmtId="172" fontId="0" fillId="0" borderId="0" xfId="0" applyNumberFormat="1" applyFont="1" applyAlignment="1" applyProtection="1">
      <alignment/>
      <protection/>
    </xf>
    <xf numFmtId="3" fontId="0" fillId="0" borderId="1" xfId="0" applyBorder="1" applyAlignment="1" applyProtection="1">
      <alignment/>
      <protection/>
    </xf>
    <xf numFmtId="3" fontId="0" fillId="0" borderId="0" xfId="0" applyFont="1" applyAlignment="1" applyProtection="1">
      <alignment horizontal="center"/>
      <protection/>
    </xf>
    <xf numFmtId="3" fontId="0" fillId="0" borderId="2" xfId="0" applyBorder="1" applyAlignment="1" applyProtection="1">
      <alignment/>
      <protection/>
    </xf>
    <xf numFmtId="7" fontId="5" fillId="0" borderId="0" xfId="0" applyNumberFormat="1" applyFont="1" applyAlignment="1" applyProtection="1">
      <alignment/>
      <protection/>
    </xf>
    <xf numFmtId="0" fontId="4" fillId="0" borderId="0" xfId="0" applyNumberFormat="1" applyFont="1" applyAlignment="1" applyProtection="1">
      <alignment horizontal="center"/>
      <protection/>
    </xf>
    <xf numFmtId="7" fontId="4" fillId="0" borderId="0" xfId="0" applyNumberFormat="1" applyFont="1" applyAlignment="1" applyProtection="1">
      <alignment/>
      <protection/>
    </xf>
    <xf numFmtId="7" fontId="0" fillId="0" borderId="0" xfId="0" applyNumberFormat="1" applyFont="1" applyAlignment="1" applyProtection="1">
      <alignment/>
      <protection/>
    </xf>
    <xf numFmtId="0" fontId="0" fillId="0" borderId="0" xfId="0" applyNumberFormat="1" applyFont="1" applyAlignment="1" applyProtection="1">
      <alignment/>
      <protection/>
    </xf>
    <xf numFmtId="3" fontId="5" fillId="0" borderId="0" xfId="0" applyFont="1" applyAlignment="1" applyProtection="1">
      <alignment horizontal="center"/>
      <protection/>
    </xf>
    <xf numFmtId="7" fontId="5" fillId="0" borderId="0" xfId="0" applyNumberFormat="1" applyFont="1" applyAlignment="1" applyProtection="1">
      <alignment/>
      <protection/>
    </xf>
    <xf numFmtId="0" fontId="5" fillId="0" borderId="0" xfId="0" applyNumberFormat="1" applyFont="1" applyAlignment="1" applyProtection="1">
      <alignment/>
      <protection/>
    </xf>
    <xf numFmtId="7" fontId="0" fillId="0" borderId="0" xfId="0" applyNumberFormat="1" applyFont="1" applyAlignment="1" applyProtection="1">
      <alignment/>
      <protection/>
    </xf>
    <xf numFmtId="5" fontId="0" fillId="0" borderId="0" xfId="0" applyNumberFormat="1" applyFont="1" applyAlignment="1" applyProtection="1">
      <alignment/>
      <protection/>
    </xf>
    <xf numFmtId="172" fontId="5" fillId="0" borderId="0" xfId="0" applyNumberFormat="1" applyFont="1" applyAlignment="1" applyProtection="1">
      <alignment/>
      <protection/>
    </xf>
    <xf numFmtId="0" fontId="5" fillId="0" borderId="0" xfId="0" applyFont="1" applyAlignment="1" applyProtection="1">
      <alignment horizontal="center"/>
      <protection/>
    </xf>
    <xf numFmtId="0" fontId="5" fillId="0" borderId="0" xfId="0" applyFont="1" applyAlignment="1" applyProtection="1">
      <alignment/>
      <protection/>
    </xf>
    <xf numFmtId="5" fontId="5" fillId="0" borderId="0" xfId="0" applyNumberFormat="1" applyFont="1" applyAlignment="1" applyProtection="1">
      <alignment/>
      <protection/>
    </xf>
    <xf numFmtId="175" fontId="0" fillId="0" borderId="0" xfId="0" applyNumberFormat="1" applyFont="1" applyAlignment="1" applyProtection="1">
      <alignment/>
      <protection/>
    </xf>
    <xf numFmtId="175" fontId="5" fillId="0" borderId="0" xfId="0" applyNumberFormat="1" applyFont="1" applyAlignment="1" applyProtection="1">
      <alignment/>
      <protection/>
    </xf>
    <xf numFmtId="175" fontId="0" fillId="0" borderId="0" xfId="0" applyNumberFormat="1" applyAlignment="1" applyProtection="1">
      <alignment/>
      <protection/>
    </xf>
    <xf numFmtId="5" fontId="0" fillId="0" borderId="0" xfId="0" applyNumberFormat="1" applyFont="1" applyAlignment="1" applyProtection="1">
      <alignment/>
      <protection/>
    </xf>
    <xf numFmtId="1" fontId="0" fillId="0" borderId="0" xfId="0" applyNumberFormat="1" applyFont="1" applyAlignment="1" applyProtection="1">
      <alignment/>
      <protection/>
    </xf>
    <xf numFmtId="1" fontId="5" fillId="0" borderId="0" xfId="0" applyNumberFormat="1" applyFont="1" applyAlignment="1" applyProtection="1">
      <alignment/>
      <protection/>
    </xf>
    <xf numFmtId="175" fontId="0" fillId="0" borderId="0" xfId="0" applyNumberFormat="1" applyFont="1" applyAlignment="1" applyProtection="1">
      <alignment/>
      <protection/>
    </xf>
    <xf numFmtId="3" fontId="10" fillId="0" borderId="0" xfId="0" applyFont="1" applyAlignment="1" applyProtection="1">
      <alignment/>
      <protection/>
    </xf>
    <xf numFmtId="180" fontId="5" fillId="0" borderId="0" xfId="0" applyNumberFormat="1" applyFont="1" applyAlignment="1" applyProtection="1">
      <alignment/>
      <protection/>
    </xf>
    <xf numFmtId="0" fontId="5" fillId="0" borderId="0" xfId="0" applyNumberFormat="1" applyFont="1" applyAlignment="1" applyProtection="1">
      <alignment horizontal="center"/>
      <protection/>
    </xf>
    <xf numFmtId="3" fontId="0" fillId="0" borderId="0" xfId="0" applyBorder="1" applyAlignment="1" applyProtection="1">
      <alignment/>
      <protection/>
    </xf>
    <xf numFmtId="178" fontId="4" fillId="0" borderId="0" xfId="15" applyFont="1" applyAlignment="1" applyProtection="1">
      <alignment vertical="top" wrapText="1"/>
      <protection/>
    </xf>
    <xf numFmtId="3" fontId="0" fillId="0" borderId="0" xfId="0" applyAlignment="1" applyProtection="1">
      <alignment vertical="top" wrapText="1"/>
      <protection/>
    </xf>
    <xf numFmtId="178" fontId="0" fillId="0" borderId="0" xfId="15" applyFont="1" applyAlignment="1" applyProtection="1">
      <alignment vertical="top" wrapText="1"/>
      <protection/>
    </xf>
    <xf numFmtId="3" fontId="11" fillId="0" borderId="0" xfId="0" applyFont="1" applyAlignment="1" applyProtection="1">
      <alignment horizontal="right" vertical="top" wrapText="1"/>
      <protection/>
    </xf>
    <xf numFmtId="3" fontId="0" fillId="0" borderId="0" xfId="0" applyAlignment="1" applyProtection="1">
      <alignment horizontal="right" vertical="top" wrapText="1"/>
      <protection/>
    </xf>
    <xf numFmtId="3" fontId="14" fillId="0" borderId="0" xfId="0" applyFont="1" applyAlignment="1" applyProtection="1">
      <alignment horizontal="right" vertical="center" wrapText="1"/>
      <protection/>
    </xf>
    <xf numFmtId="3" fontId="15" fillId="0" borderId="0" xfId="0" applyFont="1" applyAlignment="1" applyProtection="1">
      <alignment horizontal="right" vertical="center" wrapText="1"/>
      <protection/>
    </xf>
    <xf numFmtId="3" fontId="4" fillId="0" borderId="0" xfId="0" applyFont="1" applyAlignment="1" applyProtection="1">
      <alignment horizontal="center" vertical="top" wrapText="1"/>
      <protection/>
    </xf>
    <xf numFmtId="3" fontId="0" fillId="0" borderId="0" xfId="0" applyAlignment="1" applyProtection="1">
      <alignment horizontal="center" vertical="top" wrapText="1"/>
      <protection/>
    </xf>
    <xf numFmtId="3" fontId="0" fillId="0" borderId="0" xfId="0" applyAlignment="1">
      <alignment horizontal="center" wrapText="1"/>
    </xf>
    <xf numFmtId="0" fontId="7" fillId="0" borderId="0" xfId="0" applyNumberFormat="1" applyFont="1" applyAlignment="1">
      <alignment horizontal="center" wrapText="1"/>
    </xf>
    <xf numFmtId="178" fontId="16" fillId="0" borderId="0" xfId="15" applyFont="1" applyAlignment="1">
      <alignment vertical="top" wrapText="1"/>
      <protection/>
    </xf>
    <xf numFmtId="3" fontId="0" fillId="0" borderId="0" xfId="0" applyAlignment="1">
      <alignment vertical="top" wrapText="1"/>
    </xf>
    <xf numFmtId="3" fontId="9" fillId="0" borderId="0" xfId="0" applyFont="1" applyAlignment="1" applyProtection="1">
      <alignment horizontal="center"/>
      <protection/>
    </xf>
    <xf numFmtId="3" fontId="10" fillId="0" borderId="0" xfId="0" applyFont="1" applyAlignment="1" applyProtection="1">
      <alignment horizontal="center"/>
      <protection/>
    </xf>
    <xf numFmtId="3" fontId="9" fillId="0" borderId="0" xfId="0" applyFont="1" applyAlignment="1" applyProtection="1">
      <alignment/>
      <protection/>
    </xf>
    <xf numFmtId="3" fontId="10" fillId="0" borderId="0" xfId="0" applyFont="1" applyAlignment="1" applyProtection="1">
      <alignment/>
      <protection/>
    </xf>
    <xf numFmtId="3" fontId="4" fillId="0" borderId="0" xfId="0" applyFont="1" applyAlignment="1" applyProtection="1">
      <alignment wrapText="1"/>
      <protection/>
    </xf>
    <xf numFmtId="3" fontId="0" fillId="0" borderId="0" xfId="0" applyAlignment="1" applyProtection="1">
      <alignment wrapText="1"/>
      <protection/>
    </xf>
    <xf numFmtId="0" fontId="4" fillId="0" borderId="0" xfId="0" applyNumberFormat="1" applyFont="1" applyAlignment="1" applyProtection="1">
      <alignment horizontal="center" wrapText="1"/>
      <protection/>
    </xf>
    <xf numFmtId="3" fontId="0" fillId="0" borderId="0" xfId="0" applyFont="1" applyAlignment="1" applyProtection="1">
      <alignment horizontal="center" wrapText="1"/>
      <protection/>
    </xf>
    <xf numFmtId="3" fontId="4" fillId="0" borderId="0" xfId="0" applyFont="1" applyAlignment="1" applyProtection="1">
      <alignment horizontal="center"/>
      <protection/>
    </xf>
    <xf numFmtId="3" fontId="0" fillId="0" borderId="0" xfId="0" applyFont="1" applyAlignment="1" applyProtection="1">
      <alignment wrapText="1"/>
      <protection/>
    </xf>
    <xf numFmtId="3" fontId="6" fillId="0" borderId="0" xfId="0" applyFont="1" applyAlignment="1" applyProtection="1">
      <alignment horizontal="center" wrapText="1"/>
      <protection/>
    </xf>
    <xf numFmtId="3" fontId="0" fillId="0" borderId="0" xfId="0" applyFont="1" applyAlignment="1" applyProtection="1">
      <alignment vertical="top" wrapText="1"/>
      <protection/>
    </xf>
  </cellXfs>
  <cellStyles count="2">
    <cellStyle name="Normal" xfId="0"/>
    <cellStyle name="Normal_Farrow-Wean 500"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Q189"/>
  <sheetViews>
    <sheetView showGridLines="0" tabSelected="1" zoomScaleSheetLayoutView="50" workbookViewId="0" topLeftCell="A1">
      <selection activeCell="A1" sqref="A1"/>
    </sheetView>
  </sheetViews>
  <sheetFormatPr defaultColWidth="8.88671875" defaultRowHeight="15"/>
  <cols>
    <col min="1" max="1" width="3.77734375" style="32" customWidth="1"/>
    <col min="2" max="2" width="10.6640625" style="32" customWidth="1"/>
    <col min="3" max="3" width="8.6640625" style="32" customWidth="1"/>
    <col min="4" max="4" width="11.4453125" style="32" customWidth="1"/>
    <col min="5" max="6" width="10.6640625" style="32" customWidth="1"/>
    <col min="7" max="7" width="12.6640625" style="32" customWidth="1"/>
    <col min="8" max="8" width="9.5546875" style="32" customWidth="1"/>
    <col min="9" max="10" width="9.6640625" style="32" customWidth="1"/>
    <col min="11" max="11" width="6.6640625" style="32" customWidth="1"/>
    <col min="12" max="14" width="4.6640625" style="32" customWidth="1"/>
    <col min="15" max="15" width="12.10546875" style="32" customWidth="1"/>
    <col min="16" max="17" width="9.6640625" style="32" customWidth="1"/>
    <col min="18" max="18" width="7.6640625" style="32" customWidth="1"/>
    <col min="19" max="20" width="9.77734375" style="32" customWidth="1"/>
    <col min="21" max="21" width="4.6640625" style="32" customWidth="1"/>
    <col min="22" max="22" width="11.6640625" style="32" customWidth="1"/>
    <col min="23" max="23" width="2.6640625" style="32" customWidth="1"/>
    <col min="24" max="24" width="12.6640625" style="32" customWidth="1"/>
    <col min="25" max="25" width="9.6640625" style="32" customWidth="1"/>
    <col min="26" max="26" width="10.6640625" style="32" customWidth="1"/>
    <col min="27" max="29" width="9.77734375" style="32" customWidth="1"/>
    <col min="30" max="30" width="12.6640625" style="32" customWidth="1"/>
    <col min="31" max="31" width="4.6640625" style="32" customWidth="1"/>
    <col min="32" max="32" width="9.77734375" style="32" customWidth="1"/>
    <col min="33" max="33" width="9.6640625" style="32" customWidth="1"/>
    <col min="34" max="34" width="13.6640625" style="32" customWidth="1"/>
    <col min="35" max="35" width="1.66796875" style="32" customWidth="1"/>
    <col min="36" max="41" width="9.77734375" style="32" customWidth="1"/>
    <col min="42" max="42" width="9.6640625" style="32" customWidth="1"/>
    <col min="43" max="43" width="11.6640625" style="32" customWidth="1"/>
    <col min="44" max="44" width="1.66796875" style="32" customWidth="1"/>
    <col min="45" max="16384" width="9.77734375" style="32" customWidth="1"/>
  </cols>
  <sheetData>
    <row r="1" ht="15">
      <c r="A1" s="31"/>
    </row>
    <row r="2" spans="4:8" ht="24" customHeight="1">
      <c r="D2" s="94" t="s">
        <v>123</v>
      </c>
      <c r="E2" s="95"/>
      <c r="F2" s="95"/>
      <c r="G2" s="95"/>
      <c r="H2" s="33"/>
    </row>
    <row r="3" spans="4:8" ht="26.25" customHeight="1">
      <c r="D3" s="96" t="s">
        <v>124</v>
      </c>
      <c r="E3" s="97"/>
      <c r="F3" s="97"/>
      <c r="G3" s="97"/>
      <c r="H3" s="33"/>
    </row>
    <row r="4" spans="4:8" ht="27" customHeight="1">
      <c r="D4" s="94" t="str">
        <f>"Based on a herd of "&amp;Assumptions!F4&amp;" bulls"</f>
        <v>Based on a herd of 30 bulls</v>
      </c>
      <c r="E4" s="95"/>
      <c r="F4" s="95"/>
      <c r="G4" s="95"/>
      <c r="H4" s="29"/>
    </row>
    <row r="6" spans="5:7" ht="18">
      <c r="E6" s="30"/>
      <c r="G6" s="30" t="s">
        <v>218</v>
      </c>
    </row>
    <row r="7" spans="6:7" ht="18">
      <c r="F7" s="34"/>
      <c r="G7" s="34"/>
    </row>
    <row r="8" spans="6:7" ht="18">
      <c r="F8" s="34"/>
      <c r="G8" s="34"/>
    </row>
    <row r="9" spans="6:7" ht="15" customHeight="1">
      <c r="F9" s="34"/>
      <c r="G9" s="34"/>
    </row>
    <row r="10" spans="2:9" ht="17.25" customHeight="1">
      <c r="B10" s="92" t="str">
        <f>"This guide is designed to provide planning information and a format for calculating costs of production on a "&amp;Assumptions!F4&amp;" elk velvet bull enterprise. The production costs included in this enterprise budget are not intended as a cost study of the elk industry in Manitoba. Adjustments will be necessary when applying these figures to your own enterprise."</f>
        <v>This guide is designed to provide planning information and a format for calculating costs of production on a 30 elk velvet bull enterprise. The production costs included in this enterprise budget are not intended as a cost study of the elk industry in Manitoba. Adjustments will be necessary when applying these figures to your own enterprise.</v>
      </c>
      <c r="C10" s="92"/>
      <c r="D10" s="92"/>
      <c r="E10" s="92"/>
      <c r="F10" s="92"/>
      <c r="G10" s="92"/>
      <c r="H10" s="29"/>
      <c r="I10" s="29"/>
    </row>
    <row r="11" spans="2:9" ht="18" customHeight="1">
      <c r="B11" s="92"/>
      <c r="C11" s="92"/>
      <c r="D11" s="92"/>
      <c r="E11" s="92"/>
      <c r="F11" s="92"/>
      <c r="G11" s="92"/>
      <c r="H11" s="29"/>
      <c r="I11" s="29"/>
    </row>
    <row r="12" spans="2:9" ht="18" customHeight="1">
      <c r="B12" s="92"/>
      <c r="C12" s="92"/>
      <c r="D12" s="92"/>
      <c r="E12" s="92"/>
      <c r="F12" s="92"/>
      <c r="G12" s="92"/>
      <c r="H12" s="29"/>
      <c r="I12" s="29"/>
    </row>
    <row r="13" spans="2:9" ht="22.5" customHeight="1">
      <c r="B13" s="92"/>
      <c r="C13" s="92"/>
      <c r="D13" s="92"/>
      <c r="E13" s="92"/>
      <c r="F13" s="92"/>
      <c r="G13" s="92"/>
      <c r="H13" s="29"/>
      <c r="I13" s="29"/>
    </row>
    <row r="14" spans="2:8" ht="18" customHeight="1">
      <c r="B14" s="35"/>
      <c r="C14" s="35"/>
      <c r="D14" s="35"/>
      <c r="E14" s="35"/>
      <c r="F14" s="35"/>
      <c r="G14" s="35"/>
      <c r="H14" s="35"/>
    </row>
    <row r="15" spans="2:9" ht="18" customHeight="1">
      <c r="B15" s="93" t="s">
        <v>178</v>
      </c>
      <c r="C15" s="92"/>
      <c r="D15" s="92"/>
      <c r="E15" s="92"/>
      <c r="F15" s="92"/>
      <c r="G15" s="92"/>
      <c r="H15" s="29"/>
      <c r="I15" s="35"/>
    </row>
    <row r="16" spans="2:9" ht="18" customHeight="1">
      <c r="B16" s="92"/>
      <c r="C16" s="92"/>
      <c r="D16" s="92"/>
      <c r="E16" s="92"/>
      <c r="F16" s="92"/>
      <c r="G16" s="92"/>
      <c r="H16" s="29"/>
      <c r="I16" s="35"/>
    </row>
    <row r="17" spans="2:9" ht="18" customHeight="1">
      <c r="B17" s="92"/>
      <c r="C17" s="92"/>
      <c r="D17" s="92"/>
      <c r="E17" s="92"/>
      <c r="F17" s="92"/>
      <c r="G17" s="92"/>
      <c r="H17" s="29"/>
      <c r="I17" s="35"/>
    </row>
    <row r="18" spans="2:9" ht="18" customHeight="1">
      <c r="B18" s="92"/>
      <c r="C18" s="92"/>
      <c r="D18" s="92"/>
      <c r="E18" s="92"/>
      <c r="F18" s="92"/>
      <c r="G18" s="92"/>
      <c r="H18" s="29"/>
      <c r="I18" s="35"/>
    </row>
    <row r="19" spans="2:9" ht="18" customHeight="1">
      <c r="B19" s="92"/>
      <c r="C19" s="92"/>
      <c r="D19" s="92"/>
      <c r="E19" s="92"/>
      <c r="F19" s="92"/>
      <c r="G19" s="92"/>
      <c r="H19" s="29"/>
      <c r="I19" s="35"/>
    </row>
    <row r="20" spans="2:9" ht="18" customHeight="1">
      <c r="B20" s="92"/>
      <c r="C20" s="92"/>
      <c r="D20" s="92"/>
      <c r="E20" s="92"/>
      <c r="F20" s="92"/>
      <c r="G20" s="92"/>
      <c r="H20" s="29"/>
      <c r="I20" s="35"/>
    </row>
    <row r="21" ht="18" customHeight="1">
      <c r="B21" s="36"/>
    </row>
    <row r="22" spans="2:9" ht="18" customHeight="1">
      <c r="B22" s="93" t="s">
        <v>179</v>
      </c>
      <c r="C22" s="92"/>
      <c r="D22" s="92"/>
      <c r="E22" s="92"/>
      <c r="F22" s="92"/>
      <c r="G22" s="92"/>
      <c r="H22" s="29"/>
      <c r="I22" s="35"/>
    </row>
    <row r="23" spans="2:9" ht="19.5" customHeight="1">
      <c r="B23" s="92"/>
      <c r="C23" s="92"/>
      <c r="D23" s="92"/>
      <c r="E23" s="92"/>
      <c r="F23" s="92"/>
      <c r="G23" s="92"/>
      <c r="H23" s="29"/>
      <c r="I23" s="35"/>
    </row>
    <row r="24" spans="2:9" ht="23.25" customHeight="1">
      <c r="B24" s="92"/>
      <c r="C24" s="92"/>
      <c r="D24" s="92"/>
      <c r="E24" s="92"/>
      <c r="F24" s="92"/>
      <c r="G24" s="92"/>
      <c r="H24" s="29"/>
      <c r="I24" s="35"/>
    </row>
    <row r="25" spans="2:7" ht="18" customHeight="1">
      <c r="B25" s="37"/>
      <c r="C25" s="37"/>
      <c r="D25" s="37"/>
      <c r="E25" s="37"/>
      <c r="F25" s="37"/>
      <c r="G25" s="37"/>
    </row>
    <row r="26" spans="2:9" ht="18" customHeight="1">
      <c r="B26" s="91" t="s">
        <v>180</v>
      </c>
      <c r="C26" s="92"/>
      <c r="D26" s="92"/>
      <c r="E26" s="92"/>
      <c r="F26" s="92"/>
      <c r="G26" s="92"/>
      <c r="H26" s="29"/>
      <c r="I26" s="35"/>
    </row>
    <row r="27" spans="2:9" ht="18" customHeight="1">
      <c r="B27" s="92"/>
      <c r="C27" s="92"/>
      <c r="D27" s="92"/>
      <c r="E27" s="92"/>
      <c r="F27" s="92"/>
      <c r="G27" s="92"/>
      <c r="H27" s="29"/>
      <c r="I27" s="35"/>
    </row>
    <row r="28" spans="2:9" ht="18" customHeight="1">
      <c r="B28" s="92"/>
      <c r="C28" s="92"/>
      <c r="D28" s="92"/>
      <c r="E28" s="92"/>
      <c r="F28" s="92"/>
      <c r="G28" s="92"/>
      <c r="H28" s="29"/>
      <c r="I28" s="35"/>
    </row>
    <row r="29" spans="2:9" ht="18" customHeight="1">
      <c r="B29" s="92"/>
      <c r="C29" s="92"/>
      <c r="D29" s="92"/>
      <c r="E29" s="92"/>
      <c r="F29" s="92"/>
      <c r="G29" s="92"/>
      <c r="H29" s="29"/>
      <c r="I29" s="35"/>
    </row>
    <row r="30" spans="2:9" ht="18" customHeight="1">
      <c r="B30" s="92"/>
      <c r="C30" s="92"/>
      <c r="D30" s="92"/>
      <c r="E30" s="92"/>
      <c r="F30" s="92"/>
      <c r="G30" s="92"/>
      <c r="H30" s="29"/>
      <c r="I30" s="35"/>
    </row>
    <row r="31" spans="2:9" ht="18" customHeight="1">
      <c r="B31" s="35"/>
      <c r="C31" s="35"/>
      <c r="D31" s="35"/>
      <c r="E31" s="35"/>
      <c r="F31" s="35"/>
      <c r="G31" s="35"/>
      <c r="H31" s="35"/>
      <c r="I31" s="35"/>
    </row>
    <row r="32" spans="2:9" ht="15" customHeight="1">
      <c r="B32" s="35"/>
      <c r="C32" s="35"/>
      <c r="D32" s="35"/>
      <c r="E32" s="35"/>
      <c r="F32" s="35"/>
      <c r="G32" s="35"/>
      <c r="H32" s="35"/>
      <c r="I32" s="35"/>
    </row>
    <row r="33" ht="15" customHeight="1">
      <c r="B33" s="36"/>
    </row>
    <row r="34" spans="2:7" ht="15" customHeight="1">
      <c r="B34" s="37"/>
      <c r="C34" s="37"/>
      <c r="D34" s="37"/>
      <c r="E34" s="37"/>
      <c r="F34" s="37"/>
      <c r="G34" s="37"/>
    </row>
    <row r="35" spans="2:7" ht="15" customHeight="1">
      <c r="B35" s="37"/>
      <c r="C35" s="37"/>
      <c r="D35" s="37"/>
      <c r="E35" s="37"/>
      <c r="F35" s="37"/>
      <c r="G35" s="37"/>
    </row>
    <row r="36" spans="2:7" ht="15" customHeight="1">
      <c r="B36" s="37"/>
      <c r="C36" s="37"/>
      <c r="D36" s="37"/>
      <c r="E36" s="37"/>
      <c r="F36" s="37"/>
      <c r="G36" s="37"/>
    </row>
    <row r="37" spans="2:7" ht="15" customHeight="1">
      <c r="B37" s="33"/>
      <c r="C37" s="33"/>
      <c r="D37" s="33"/>
      <c r="E37" s="33"/>
      <c r="F37" s="33"/>
      <c r="G37" s="33"/>
    </row>
    <row r="38" spans="2:7" ht="15">
      <c r="B38" s="33"/>
      <c r="C38" s="33"/>
      <c r="D38" s="33"/>
      <c r="E38" s="33"/>
      <c r="F38" s="33"/>
      <c r="G38" s="33"/>
    </row>
    <row r="42" ht="15">
      <c r="H42" s="32" t="s">
        <v>0</v>
      </c>
    </row>
    <row r="45" ht="15">
      <c r="H45" s="32" t="s">
        <v>0</v>
      </c>
    </row>
    <row r="49" ht="15">
      <c r="H49" s="32" t="s">
        <v>0</v>
      </c>
    </row>
    <row r="56" ht="15">
      <c r="H56" s="32" t="s">
        <v>0</v>
      </c>
    </row>
    <row r="65" spans="15:17" ht="15">
      <c r="O65" s="38"/>
      <c r="Q65" s="39"/>
    </row>
    <row r="66" spans="14:15" ht="15">
      <c r="N66" s="32" t="s">
        <v>1</v>
      </c>
      <c r="O66" s="38" t="s">
        <v>1</v>
      </c>
    </row>
    <row r="68" ht="15">
      <c r="H68" s="32" t="s">
        <v>0</v>
      </c>
    </row>
    <row r="69" spans="13:17" ht="15">
      <c r="M69" s="38"/>
      <c r="O69" s="38"/>
      <c r="Q69" s="39"/>
    </row>
    <row r="71" spans="13:17" ht="15">
      <c r="M71" s="38"/>
      <c r="O71" s="38"/>
      <c r="Q71" s="39"/>
    </row>
    <row r="72" spans="13:17" ht="15">
      <c r="M72" s="38"/>
      <c r="O72" s="38"/>
      <c r="Q72" s="39"/>
    </row>
    <row r="73" spans="8:17" ht="15">
      <c r="H73" s="32" t="s">
        <v>0</v>
      </c>
      <c r="M73" s="38"/>
      <c r="O73" s="38"/>
      <c r="Q73" s="39"/>
    </row>
    <row r="76" ht="15">
      <c r="I76" s="32" t="s">
        <v>1</v>
      </c>
    </row>
    <row r="83" ht="15">
      <c r="H83" s="32" t="s">
        <v>0</v>
      </c>
    </row>
    <row r="86" ht="15">
      <c r="H86" s="32" t="s">
        <v>0</v>
      </c>
    </row>
    <row r="88" ht="15">
      <c r="H88" s="32" t="s">
        <v>0</v>
      </c>
    </row>
    <row r="113" ht="15">
      <c r="H113" s="32" t="s">
        <v>0</v>
      </c>
    </row>
    <row r="117" ht="15">
      <c r="H117" s="32" t="s">
        <v>0</v>
      </c>
    </row>
    <row r="121" ht="15">
      <c r="H121" s="32" t="s">
        <v>0</v>
      </c>
    </row>
    <row r="127" ht="15">
      <c r="H127" s="32" t="s">
        <v>0</v>
      </c>
    </row>
    <row r="131" ht="15">
      <c r="H131" s="32" t="s">
        <v>0</v>
      </c>
    </row>
    <row r="138" ht="15">
      <c r="H138" s="32" t="s">
        <v>0</v>
      </c>
    </row>
    <row r="142" ht="15">
      <c r="H142" s="32" t="s">
        <v>0</v>
      </c>
    </row>
    <row r="144" ht="15">
      <c r="H144" s="32" t="s">
        <v>0</v>
      </c>
    </row>
    <row r="150" ht="15">
      <c r="H150" s="32" t="s">
        <v>0</v>
      </c>
    </row>
    <row r="156" ht="15">
      <c r="H156" s="32" t="s">
        <v>0</v>
      </c>
    </row>
    <row r="161" ht="15">
      <c r="H161" s="32" t="s">
        <v>0</v>
      </c>
    </row>
    <row r="162" ht="18">
      <c r="D162" s="40"/>
    </row>
    <row r="165" spans="1:6" ht="15.75">
      <c r="A165" s="41"/>
      <c r="F165" s="41"/>
    </row>
    <row r="166" ht="15">
      <c r="D166" s="39"/>
    </row>
    <row r="167" ht="15">
      <c r="D167" s="39"/>
    </row>
    <row r="168" ht="15">
      <c r="D168" s="39"/>
    </row>
    <row r="169" ht="15">
      <c r="D169" s="39"/>
    </row>
    <row r="170" ht="15">
      <c r="D170" s="39"/>
    </row>
    <row r="171" ht="15.75">
      <c r="D171" s="42"/>
    </row>
    <row r="172" spans="4:8" ht="15">
      <c r="D172" s="39"/>
      <c r="H172" s="32" t="s">
        <v>0</v>
      </c>
    </row>
    <row r="173" ht="15">
      <c r="D173" s="39"/>
    </row>
    <row r="174" spans="1:4" ht="15.75">
      <c r="A174" s="41"/>
      <c r="D174" s="39"/>
    </row>
    <row r="175" ht="15">
      <c r="D175" s="39"/>
    </row>
    <row r="176" ht="15">
      <c r="D176" s="39"/>
    </row>
    <row r="177" ht="15">
      <c r="D177" s="39"/>
    </row>
    <row r="178" ht="15.75">
      <c r="D178" s="42"/>
    </row>
    <row r="179" ht="15">
      <c r="D179" s="39"/>
    </row>
    <row r="180" spans="1:4" ht="15.75">
      <c r="A180" s="41"/>
      <c r="D180" s="39"/>
    </row>
    <row r="181" ht="15">
      <c r="D181" s="39"/>
    </row>
    <row r="182" ht="15">
      <c r="D182" s="39"/>
    </row>
    <row r="183" ht="15">
      <c r="D183" s="39"/>
    </row>
    <row r="184" ht="15.75">
      <c r="D184" s="42"/>
    </row>
    <row r="185" ht="15">
      <c r="D185" s="39"/>
    </row>
    <row r="186" spans="1:4" ht="15.75">
      <c r="A186" s="41"/>
      <c r="D186" s="39"/>
    </row>
    <row r="187" ht="15.75">
      <c r="D187" s="42"/>
    </row>
    <row r="188" ht="15">
      <c r="D188" s="39"/>
    </row>
    <row r="189" spans="1:4" ht="15.75">
      <c r="A189" s="41"/>
      <c r="D189" s="42"/>
    </row>
  </sheetData>
  <sheetProtection password="C7C6" sheet="1" objects="1" scenarios="1"/>
  <mergeCells count="7">
    <mergeCell ref="B26:G30"/>
    <mergeCell ref="B10:G13"/>
    <mergeCell ref="B15:G20"/>
    <mergeCell ref="D2:G2"/>
    <mergeCell ref="D4:G4"/>
    <mergeCell ref="D3:G3"/>
    <mergeCell ref="B22:G24"/>
  </mergeCells>
  <printOptions/>
  <pageMargins left="0.75" right="0.75" top="1" bottom="1" header="0.5" footer="0.5"/>
  <pageSetup horizontalDpi="300" verticalDpi="300" orientation="portrait" r:id="rId2"/>
  <colBreaks count="2" manualBreakCount="2">
    <brk id="8" max="76" man="1"/>
    <brk id="14" max="65535" man="1"/>
  </colBreaks>
  <legacyDrawing r:id="rId1"/>
</worksheet>
</file>

<file path=xl/worksheets/sheet2.xml><?xml version="1.0" encoding="utf-8"?>
<worksheet xmlns="http://schemas.openxmlformats.org/spreadsheetml/2006/main" xmlns:r="http://schemas.openxmlformats.org/officeDocument/2006/relationships">
  <sheetPr codeName="Sheet2"/>
  <dimension ref="A2:F98"/>
  <sheetViews>
    <sheetView showGridLines="0" workbookViewId="0" topLeftCell="A1">
      <selection activeCell="A1" sqref="A1"/>
    </sheetView>
  </sheetViews>
  <sheetFormatPr defaultColWidth="8.88671875" defaultRowHeight="15"/>
  <cols>
    <col min="1" max="3" width="8.88671875" style="32" customWidth="1"/>
    <col min="4" max="4" width="9.4453125" style="32" customWidth="1"/>
    <col min="5" max="5" width="10.88671875" style="32" customWidth="1"/>
    <col min="6" max="6" width="9.5546875" style="32" customWidth="1"/>
    <col min="7" max="16384" width="8.88671875" style="32" customWidth="1"/>
  </cols>
  <sheetData>
    <row r="2" spans="2:6" ht="15">
      <c r="B2" s="98" t="s">
        <v>161</v>
      </c>
      <c r="C2" s="99"/>
      <c r="D2" s="99"/>
      <c r="E2" s="99"/>
      <c r="F2" s="99"/>
    </row>
    <row r="3" spans="5:6" ht="15">
      <c r="E3" s="38" t="s">
        <v>11</v>
      </c>
      <c r="F3" s="32" t="s">
        <v>0</v>
      </c>
    </row>
    <row r="4" spans="2:6" ht="15.75">
      <c r="B4" s="32" t="s">
        <v>12</v>
      </c>
      <c r="E4" s="32" t="s">
        <v>0</v>
      </c>
      <c r="F4" s="18">
        <v>30</v>
      </c>
    </row>
    <row r="5" spans="2:6" ht="15.75">
      <c r="B5" s="32" t="s">
        <v>204</v>
      </c>
      <c r="F5" s="19">
        <v>1200</v>
      </c>
    </row>
    <row r="6" spans="2:6" ht="15.75">
      <c r="B6" s="32" t="s">
        <v>201</v>
      </c>
      <c r="F6" s="19">
        <v>400</v>
      </c>
    </row>
    <row r="7" spans="2:6" ht="15.75">
      <c r="B7" s="32" t="s">
        <v>199</v>
      </c>
      <c r="F7" s="23">
        <v>0.7</v>
      </c>
    </row>
    <row r="8" spans="2:6" ht="15.75">
      <c r="B8" s="32" t="s">
        <v>202</v>
      </c>
      <c r="F8" s="24">
        <v>2250</v>
      </c>
    </row>
    <row r="9" spans="2:6" ht="15.75">
      <c r="B9" s="32" t="s">
        <v>200</v>
      </c>
      <c r="F9" s="23">
        <v>0.3</v>
      </c>
    </row>
    <row r="10" spans="2:6" ht="15.75">
      <c r="B10" s="32" t="s">
        <v>203</v>
      </c>
      <c r="F10" s="43">
        <f>(F6*F7)+(F8*F9)</f>
        <v>955</v>
      </c>
    </row>
    <row r="11" spans="2:6" ht="15.75">
      <c r="B11" s="32" t="s">
        <v>13</v>
      </c>
      <c r="F11" s="20">
        <v>30</v>
      </c>
    </row>
    <row r="12" spans="2:6" ht="15.75">
      <c r="B12" s="32" t="s">
        <v>208</v>
      </c>
      <c r="F12" s="18">
        <v>17</v>
      </c>
    </row>
    <row r="13" spans="2:6" ht="15.75">
      <c r="B13" s="32" t="s">
        <v>14</v>
      </c>
      <c r="E13" s="32" t="s">
        <v>0</v>
      </c>
      <c r="F13" s="21">
        <v>1</v>
      </c>
    </row>
    <row r="14" spans="2:6" ht="15.75">
      <c r="B14" s="32" t="s">
        <v>15</v>
      </c>
      <c r="F14" s="22">
        <v>10</v>
      </c>
    </row>
    <row r="15" spans="1:6" ht="15.75">
      <c r="A15" s="32" t="s">
        <v>1</v>
      </c>
      <c r="B15" s="32" t="s">
        <v>209</v>
      </c>
      <c r="F15" s="18">
        <v>60</v>
      </c>
    </row>
    <row r="16" spans="2:6" ht="15.75">
      <c r="B16" s="32" t="s">
        <v>210</v>
      </c>
      <c r="F16" s="24">
        <v>300</v>
      </c>
    </row>
    <row r="17" spans="2:6" ht="15.75">
      <c r="B17" s="32" t="s">
        <v>212</v>
      </c>
      <c r="F17" s="24">
        <v>12000</v>
      </c>
    </row>
    <row r="18" spans="2:6" ht="15.75">
      <c r="B18" s="32" t="s">
        <v>211</v>
      </c>
      <c r="F18" s="18">
        <v>2</v>
      </c>
    </row>
    <row r="21" ht="15.75">
      <c r="A21" s="44" t="s">
        <v>162</v>
      </c>
    </row>
    <row r="22" spans="4:6" ht="15.75">
      <c r="D22" s="44"/>
      <c r="E22" s="45" t="s">
        <v>16</v>
      </c>
      <c r="F22" s="46" t="s">
        <v>17</v>
      </c>
    </row>
    <row r="23" spans="2:6" ht="15.75">
      <c r="B23" s="47" t="s">
        <v>18</v>
      </c>
      <c r="D23" s="48" t="s">
        <v>19</v>
      </c>
      <c r="E23" s="48" t="s">
        <v>20</v>
      </c>
      <c r="F23" s="48" t="s">
        <v>21</v>
      </c>
    </row>
    <row r="24" ht="15">
      <c r="C24" s="32" t="s">
        <v>1</v>
      </c>
    </row>
    <row r="25" spans="2:6" ht="15.75">
      <c r="B25" s="32" t="s">
        <v>22</v>
      </c>
      <c r="C25" s="49"/>
      <c r="D25" s="21">
        <v>7</v>
      </c>
      <c r="E25" s="21">
        <v>185</v>
      </c>
      <c r="F25" s="19">
        <v>60</v>
      </c>
    </row>
    <row r="26" spans="2:6" ht="15.75">
      <c r="B26" s="32" t="s">
        <v>23</v>
      </c>
      <c r="C26" s="49"/>
      <c r="D26" s="21">
        <v>3</v>
      </c>
      <c r="E26" s="21">
        <v>185</v>
      </c>
      <c r="F26" s="19">
        <v>90</v>
      </c>
    </row>
    <row r="27" spans="2:6" ht="15.75">
      <c r="B27" s="32" t="s">
        <v>24</v>
      </c>
      <c r="C27" s="49"/>
      <c r="D27" s="21">
        <v>0.5</v>
      </c>
      <c r="E27" s="21">
        <v>365</v>
      </c>
      <c r="F27" s="19">
        <v>270</v>
      </c>
    </row>
    <row r="30" ht="15.75">
      <c r="A30" s="44" t="s">
        <v>163</v>
      </c>
    </row>
    <row r="31" spans="2:5" ht="15.75">
      <c r="B31" s="32" t="s">
        <v>181</v>
      </c>
      <c r="E31" s="20">
        <v>20</v>
      </c>
    </row>
    <row r="32" spans="2:5" ht="15.75">
      <c r="B32" s="32" t="s">
        <v>182</v>
      </c>
      <c r="E32" s="20">
        <v>0</v>
      </c>
    </row>
    <row r="34" ht="15.75">
      <c r="A34" s="44" t="s">
        <v>164</v>
      </c>
    </row>
    <row r="35" spans="1:5" ht="15.75">
      <c r="A35" s="32" t="s">
        <v>185</v>
      </c>
      <c r="E35" s="20">
        <v>300</v>
      </c>
    </row>
    <row r="36" spans="1:5" ht="15.75">
      <c r="A36" s="32" t="s">
        <v>186</v>
      </c>
      <c r="E36" s="20">
        <v>200</v>
      </c>
    </row>
    <row r="37" spans="1:5" ht="15.75">
      <c r="A37" s="32" t="s">
        <v>187</v>
      </c>
      <c r="E37" s="20">
        <v>400</v>
      </c>
    </row>
    <row r="39" ht="15.75">
      <c r="A39" s="44" t="s">
        <v>25</v>
      </c>
    </row>
    <row r="40" spans="2:5" ht="15.75">
      <c r="B40" s="32" t="s">
        <v>188</v>
      </c>
      <c r="E40" s="20">
        <v>450</v>
      </c>
    </row>
    <row r="41" ht="15">
      <c r="A41" s="32" t="s">
        <v>1</v>
      </c>
    </row>
    <row r="42" spans="1:6" ht="15.75">
      <c r="A42" s="44" t="s">
        <v>26</v>
      </c>
      <c r="E42" s="20">
        <v>5</v>
      </c>
      <c r="F42" s="32" t="s">
        <v>0</v>
      </c>
    </row>
    <row r="44" ht="15.75">
      <c r="A44" s="44" t="s">
        <v>27</v>
      </c>
    </row>
    <row r="45" spans="1:5" ht="15.75">
      <c r="A45" s="32" t="s">
        <v>28</v>
      </c>
      <c r="E45" s="20">
        <v>100</v>
      </c>
    </row>
    <row r="46" spans="1:5" ht="15.75">
      <c r="A46" s="32" t="s">
        <v>29</v>
      </c>
      <c r="E46" s="20">
        <v>0</v>
      </c>
    </row>
    <row r="47" spans="1:5" ht="15.75">
      <c r="A47" s="32" t="s">
        <v>30</v>
      </c>
      <c r="E47" s="20">
        <v>150</v>
      </c>
    </row>
    <row r="49" spans="1:6" ht="15.75">
      <c r="A49" s="44" t="s">
        <v>34</v>
      </c>
      <c r="C49" s="32" t="s">
        <v>0</v>
      </c>
      <c r="D49" s="32" t="s">
        <v>0</v>
      </c>
      <c r="E49" s="38" t="s">
        <v>0</v>
      </c>
      <c r="F49" s="32" t="s">
        <v>0</v>
      </c>
    </row>
    <row r="50" spans="1:6" ht="15">
      <c r="A50" s="32" t="s">
        <v>35</v>
      </c>
      <c r="E50" s="38" t="s">
        <v>0</v>
      </c>
      <c r="F50" s="32" t="s">
        <v>0</v>
      </c>
    </row>
    <row r="51" spans="1:5" ht="15.75">
      <c r="A51" s="32" t="s">
        <v>36</v>
      </c>
      <c r="D51" s="32" t="s">
        <v>0</v>
      </c>
      <c r="E51" s="20">
        <v>0</v>
      </c>
    </row>
    <row r="52" spans="1:5" ht="15.75">
      <c r="A52" s="32" t="s">
        <v>37</v>
      </c>
      <c r="E52" s="20">
        <v>0.6</v>
      </c>
    </row>
    <row r="53" spans="1:5" ht="15.75">
      <c r="A53" s="32" t="s">
        <v>38</v>
      </c>
      <c r="E53" s="20">
        <v>30</v>
      </c>
    </row>
    <row r="55" ht="15.75">
      <c r="A55" s="44" t="s">
        <v>215</v>
      </c>
    </row>
    <row r="56" spans="2:5" ht="15.75">
      <c r="B56" s="32" t="s">
        <v>205</v>
      </c>
      <c r="C56" s="38"/>
      <c r="D56" s="38"/>
      <c r="E56" s="20">
        <v>100</v>
      </c>
    </row>
    <row r="57" spans="2:5" ht="15.75">
      <c r="B57" s="32" t="s">
        <v>206</v>
      </c>
      <c r="C57" s="38"/>
      <c r="D57" s="38"/>
      <c r="E57" s="20">
        <v>0</v>
      </c>
    </row>
    <row r="58" spans="3:5" ht="15">
      <c r="C58" s="38"/>
      <c r="D58" s="38"/>
      <c r="E58" s="38"/>
    </row>
    <row r="59" ht="15.75">
      <c r="A59" s="44" t="s">
        <v>31</v>
      </c>
    </row>
    <row r="60" spans="1:5" ht="15.75">
      <c r="A60" s="32" t="s">
        <v>32</v>
      </c>
      <c r="E60" s="21">
        <v>4</v>
      </c>
    </row>
    <row r="61" spans="1:5" ht="15.75">
      <c r="A61" s="32" t="s">
        <v>33</v>
      </c>
      <c r="E61" s="21">
        <v>6.5</v>
      </c>
    </row>
    <row r="63" ht="15">
      <c r="E63" s="39"/>
    </row>
    <row r="64" ht="15.75">
      <c r="D64" s="44" t="s">
        <v>165</v>
      </c>
    </row>
    <row r="65" ht="15">
      <c r="A65" s="32" t="s">
        <v>1</v>
      </c>
    </row>
    <row r="66" spans="5:6" ht="15.75">
      <c r="E66" s="45" t="s">
        <v>191</v>
      </c>
      <c r="F66" s="46" t="s">
        <v>192</v>
      </c>
    </row>
    <row r="67" spans="4:6" ht="15.75">
      <c r="D67" s="44" t="s">
        <v>189</v>
      </c>
      <c r="E67" s="45" t="s">
        <v>190</v>
      </c>
      <c r="F67" s="46" t="s">
        <v>193</v>
      </c>
    </row>
    <row r="68" spans="4:6" ht="15.75">
      <c r="D68" s="50" t="s">
        <v>190</v>
      </c>
      <c r="E68" s="51" t="s">
        <v>39</v>
      </c>
      <c r="F68" s="52" t="s">
        <v>194</v>
      </c>
    </row>
    <row r="69" spans="1:6" ht="15.75">
      <c r="A69" s="44" t="s">
        <v>2</v>
      </c>
      <c r="E69" s="32" t="s">
        <v>0</v>
      </c>
      <c r="F69" s="32" t="s">
        <v>0</v>
      </c>
    </row>
    <row r="70" spans="1:4" ht="15.75">
      <c r="A70" s="32" t="s">
        <v>171</v>
      </c>
      <c r="D70" s="24">
        <v>10000</v>
      </c>
    </row>
    <row r="71" spans="1:6" ht="15.75">
      <c r="A71" s="32" t="s">
        <v>172</v>
      </c>
      <c r="D71" s="24">
        <v>12000</v>
      </c>
      <c r="E71" s="32">
        <v>10</v>
      </c>
      <c r="F71" s="32">
        <v>20</v>
      </c>
    </row>
    <row r="72" spans="1:6" ht="15.75">
      <c r="A72" s="32" t="s">
        <v>159</v>
      </c>
      <c r="D72" s="24">
        <v>2000</v>
      </c>
      <c r="E72" s="32">
        <v>10</v>
      </c>
      <c r="F72" s="32">
        <v>20</v>
      </c>
    </row>
    <row r="73" spans="1:6" ht="15.75">
      <c r="A73" s="32" t="s">
        <v>3</v>
      </c>
      <c r="D73" s="24">
        <v>0</v>
      </c>
      <c r="E73" s="32">
        <v>10</v>
      </c>
      <c r="F73" s="32">
        <v>20</v>
      </c>
    </row>
    <row r="74" spans="1:6" ht="15.75">
      <c r="A74" s="32" t="s">
        <v>4</v>
      </c>
      <c r="D74" s="24">
        <v>3500</v>
      </c>
      <c r="E74" s="32">
        <v>10</v>
      </c>
      <c r="F74" s="32">
        <v>20</v>
      </c>
    </row>
    <row r="75" spans="1:6" ht="15.75">
      <c r="A75" s="32" t="s">
        <v>160</v>
      </c>
      <c r="D75" s="25">
        <v>400</v>
      </c>
      <c r="E75" s="53">
        <v>10</v>
      </c>
      <c r="F75" s="53">
        <v>20</v>
      </c>
    </row>
    <row r="76" spans="1:6" ht="15.75">
      <c r="A76" s="44" t="s">
        <v>196</v>
      </c>
      <c r="D76" s="54">
        <f>SUM(D70:D75)</f>
        <v>27900</v>
      </c>
      <c r="E76" s="18">
        <v>10</v>
      </c>
      <c r="F76" s="18">
        <v>20</v>
      </c>
    </row>
    <row r="78" ht="15.75">
      <c r="A78" s="44" t="s">
        <v>5</v>
      </c>
    </row>
    <row r="79" spans="1:6" ht="15.75">
      <c r="A79" s="32" t="s">
        <v>6</v>
      </c>
      <c r="D79" s="24">
        <v>2000</v>
      </c>
      <c r="E79" s="18">
        <v>30</v>
      </c>
      <c r="F79" s="18">
        <v>10</v>
      </c>
    </row>
    <row r="80" spans="1:6" ht="15.75">
      <c r="A80" s="32" t="s">
        <v>173</v>
      </c>
      <c r="D80" s="24">
        <v>4000</v>
      </c>
      <c r="E80" s="18"/>
      <c r="F80" s="18"/>
    </row>
    <row r="81" spans="1:6" ht="15.75">
      <c r="A81" s="32" t="s">
        <v>7</v>
      </c>
      <c r="D81" s="24">
        <v>400</v>
      </c>
      <c r="E81" s="18">
        <v>20</v>
      </c>
      <c r="F81" s="18">
        <v>12</v>
      </c>
    </row>
    <row r="82" spans="1:6" ht="15.75">
      <c r="A82" s="32" t="s">
        <v>8</v>
      </c>
      <c r="D82" s="25">
        <v>1000</v>
      </c>
      <c r="E82" s="18">
        <v>30</v>
      </c>
      <c r="F82" s="18">
        <v>15</v>
      </c>
    </row>
    <row r="83" spans="1:6" ht="15.75">
      <c r="A83" s="44" t="s">
        <v>195</v>
      </c>
      <c r="D83" s="54">
        <f>SUM(D79:D82)</f>
        <v>7400</v>
      </c>
      <c r="E83" s="32" t="s">
        <v>0</v>
      </c>
      <c r="F83" s="32" t="s">
        <v>0</v>
      </c>
    </row>
    <row r="85" ht="15.75">
      <c r="A85" s="44" t="s">
        <v>9</v>
      </c>
    </row>
    <row r="86" spans="1:6" ht="15.75">
      <c r="A86" s="32" t="str">
        <f>"        Fence ("&amp;F18&amp;" miles @ $"&amp;F17&amp;") "</f>
        <v>        Fence (2 miles @ $12000) </v>
      </c>
      <c r="D86" s="26">
        <f>F18*F17</f>
        <v>24000</v>
      </c>
      <c r="E86" s="18">
        <v>10</v>
      </c>
      <c r="F86" s="18">
        <v>20</v>
      </c>
    </row>
    <row r="87" spans="1:4" ht="15.75">
      <c r="A87" s="32" t="str">
        <f>"        Pasture ("&amp;F15&amp;"ac @ $"&amp;F16&amp;")"</f>
        <v>        Pasture (60ac @ $300)</v>
      </c>
      <c r="D87" s="27">
        <f>F15*F16</f>
        <v>18000</v>
      </c>
    </row>
    <row r="88" spans="1:4" ht="15.75">
      <c r="A88" s="44" t="s">
        <v>197</v>
      </c>
      <c r="D88" s="26">
        <f>SUM(D86:D87)</f>
        <v>42000</v>
      </c>
    </row>
    <row r="90" spans="1:4" ht="15.75">
      <c r="A90" s="44" t="s">
        <v>213</v>
      </c>
      <c r="D90" s="26">
        <f>F4*F5</f>
        <v>36000</v>
      </c>
    </row>
    <row r="92" spans="1:4" ht="15.75">
      <c r="A92" s="44" t="s">
        <v>10</v>
      </c>
      <c r="D92" s="26">
        <f>D76+D83+D88+D90</f>
        <v>113300</v>
      </c>
    </row>
    <row r="93" ht="15">
      <c r="D93" s="32" t="s">
        <v>1</v>
      </c>
    </row>
    <row r="96" ht="15.75">
      <c r="A96" s="44" t="s">
        <v>198</v>
      </c>
    </row>
    <row r="97" spans="2:6" ht="15.75">
      <c r="B97" s="32" t="s">
        <v>40</v>
      </c>
      <c r="F97" s="18">
        <v>5</v>
      </c>
    </row>
    <row r="98" spans="2:6" ht="15.75">
      <c r="B98" s="32" t="s">
        <v>41</v>
      </c>
      <c r="F98" s="20">
        <v>10</v>
      </c>
    </row>
  </sheetData>
  <sheetProtection password="C7C6" sheet="1" objects="1" scenarios="1"/>
  <mergeCells count="1">
    <mergeCell ref="B2:F2"/>
  </mergeCell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codeName="Sheet3"/>
  <dimension ref="B1:K42"/>
  <sheetViews>
    <sheetView showGridLines="0" workbookViewId="0" topLeftCell="A1">
      <selection activeCell="A1" sqref="A1"/>
    </sheetView>
  </sheetViews>
  <sheetFormatPr defaultColWidth="8.88671875" defaultRowHeight="15"/>
  <cols>
    <col min="1" max="1" width="3.77734375" style="0" customWidth="1"/>
    <col min="5" max="5" width="5.77734375" style="0" customWidth="1"/>
    <col min="8" max="8" width="8.99609375" style="0" customWidth="1"/>
    <col min="9" max="9" width="9.6640625" style="0" customWidth="1"/>
  </cols>
  <sheetData>
    <row r="1" ht="15">
      <c r="B1" t="s">
        <v>1</v>
      </c>
    </row>
    <row r="2" spans="2:10" ht="15.75">
      <c r="B2" s="101" t="str">
        <f>"ELK VELVET BULL COST SUMMARY - "&amp;Introduction!G6</f>
        <v>ELK VELVET BULL COST SUMMARY - September, 2003</v>
      </c>
      <c r="C2" s="100"/>
      <c r="D2" s="100"/>
      <c r="E2" s="100"/>
      <c r="F2" s="100"/>
      <c r="G2" s="100"/>
      <c r="H2" s="100"/>
      <c r="I2" s="100"/>
      <c r="J2" s="17"/>
    </row>
    <row r="3" spans="2:10" ht="15">
      <c r="B3" s="100" t="str">
        <f>"(Based on "&amp;Assumptions!F4&amp;" head)"</f>
        <v>(Based on 30 head)</v>
      </c>
      <c r="C3" s="100"/>
      <c r="D3" s="100"/>
      <c r="E3" s="100"/>
      <c r="F3" s="100"/>
      <c r="G3" s="100"/>
      <c r="H3" s="100"/>
      <c r="I3" s="100"/>
      <c r="J3" s="100"/>
    </row>
    <row r="4" spans="2:9" ht="15.75">
      <c r="B4" t="s">
        <v>1</v>
      </c>
      <c r="I4" s="12"/>
    </row>
    <row r="5" spans="2:9" ht="15.75">
      <c r="B5" s="5" t="s">
        <v>42</v>
      </c>
      <c r="F5" s="10" t="s">
        <v>43</v>
      </c>
      <c r="G5" s="10" t="s">
        <v>44</v>
      </c>
      <c r="H5" s="11" t="s">
        <v>45</v>
      </c>
      <c r="I5" s="13" t="s">
        <v>125</v>
      </c>
    </row>
    <row r="6" spans="2:8" ht="15">
      <c r="B6" t="s">
        <v>46</v>
      </c>
      <c r="F6" s="1" t="s">
        <v>1</v>
      </c>
      <c r="G6" t="s">
        <v>1</v>
      </c>
      <c r="H6" s="2" t="s">
        <v>1</v>
      </c>
    </row>
    <row r="7" spans="2:9" ht="15">
      <c r="B7" t="s">
        <v>47</v>
      </c>
      <c r="F7" s="1">
        <f>Details!E28</f>
        <v>77.7</v>
      </c>
      <c r="G7" s="1">
        <f>ROUND(+F7/Assumptions!$F$12,2)</f>
        <v>4.57</v>
      </c>
      <c r="H7" s="2">
        <f>ROUND(+F7*Assumptions!$F$4,0)</f>
        <v>2331</v>
      </c>
      <c r="I7" s="14"/>
    </row>
    <row r="8" spans="2:9" ht="15">
      <c r="B8" t="s">
        <v>48</v>
      </c>
      <c r="F8" s="3">
        <f>Details!E35</f>
        <v>49.95</v>
      </c>
      <c r="G8" s="3">
        <f>ROUND(+F8/Assumptions!$F$12,2)</f>
        <v>2.94</v>
      </c>
      <c r="H8">
        <f>ROUND(+F8*Assumptions!$F$4,0)</f>
        <v>1499</v>
      </c>
      <c r="I8" s="15"/>
    </row>
    <row r="9" spans="2:9" ht="15">
      <c r="B9" t="s">
        <v>49</v>
      </c>
      <c r="F9" s="6">
        <f>Details!E42</f>
        <v>49.28</v>
      </c>
      <c r="G9" s="6">
        <f>ROUND(+F9/Assumptions!$F$12,2)</f>
        <v>2.9</v>
      </c>
      <c r="H9" s="7">
        <f>ROUND(+F9*Assumptions!$F$4,0)</f>
        <v>1478</v>
      </c>
      <c r="I9" s="15"/>
    </row>
    <row r="10" spans="2:9" ht="15.75">
      <c r="B10" s="5" t="s">
        <v>50</v>
      </c>
      <c r="C10" s="5"/>
      <c r="D10" s="5"/>
      <c r="E10" s="5"/>
      <c r="F10" s="8">
        <f>SUM(F7:F9)</f>
        <v>176.93</v>
      </c>
      <c r="G10" s="8">
        <f>SUM(G7:G9)</f>
        <v>10.41</v>
      </c>
      <c r="H10" s="9">
        <f>SUM(H7:H9)</f>
        <v>5308</v>
      </c>
      <c r="I10" s="15"/>
    </row>
    <row r="11" spans="2:9" ht="15">
      <c r="B11" t="s">
        <v>51</v>
      </c>
      <c r="G11" s="1"/>
      <c r="I11" s="16"/>
    </row>
    <row r="12" spans="2:9" ht="15">
      <c r="B12" t="s">
        <v>52</v>
      </c>
      <c r="F12" s="3">
        <f>Details!E49</f>
        <v>20</v>
      </c>
      <c r="G12" s="3">
        <f>ROUND(+F12/Assumptions!$F$12,2)</f>
        <v>1.18</v>
      </c>
      <c r="H12">
        <f>ROUND(+F12*Assumptions!$F$4,0)</f>
        <v>600</v>
      </c>
      <c r="I12" s="14"/>
    </row>
    <row r="13" spans="2:9" ht="15">
      <c r="B13" t="s">
        <v>53</v>
      </c>
      <c r="F13" s="3">
        <f>Details!E62</f>
        <v>30</v>
      </c>
      <c r="G13" s="3">
        <f>ROUND(+F13/Assumptions!$F$12,2)</f>
        <v>1.76</v>
      </c>
      <c r="H13">
        <f>ROUND(+F13*Assumptions!$F$4,0)</f>
        <v>900</v>
      </c>
      <c r="I13" s="15"/>
    </row>
    <row r="14" spans="2:9" ht="15">
      <c r="B14" t="s">
        <v>54</v>
      </c>
      <c r="F14" s="3">
        <f>Details!E67</f>
        <v>8.333333333333334</v>
      </c>
      <c r="G14" s="3">
        <f>ROUND(+F14/Assumptions!$F$12,2)</f>
        <v>0.49</v>
      </c>
      <c r="H14">
        <f>ROUND(+F14*Assumptions!$F$4,0)</f>
        <v>250</v>
      </c>
      <c r="I14" s="15"/>
    </row>
    <row r="15" spans="2:9" ht="15">
      <c r="B15" t="s">
        <v>55</v>
      </c>
      <c r="F15" s="3">
        <f>Details!E72</f>
        <v>15</v>
      </c>
      <c r="G15" s="3">
        <f>ROUND(+F15/Assumptions!$F$12,2)</f>
        <v>0.88</v>
      </c>
      <c r="H15">
        <f>ROUND(+F15*Assumptions!$F$4,0)</f>
        <v>450</v>
      </c>
      <c r="I15" s="15"/>
    </row>
    <row r="16" spans="2:9" ht="15">
      <c r="B16" t="s">
        <v>56</v>
      </c>
      <c r="F16" s="3">
        <f>Details!E77</f>
        <v>12</v>
      </c>
      <c r="G16" s="3">
        <f>ROUND(+F16/Assumptions!$F$12,2)</f>
        <v>0.71</v>
      </c>
      <c r="H16">
        <f>ROUND(+F16*Assumptions!$F$4,0)</f>
        <v>360</v>
      </c>
      <c r="I16" s="15"/>
    </row>
    <row r="17" spans="2:9" ht="15">
      <c r="B17" t="s">
        <v>57</v>
      </c>
      <c r="F17" s="3">
        <f>Details!E96</f>
        <v>8.06</v>
      </c>
      <c r="G17" s="3">
        <f>ROUND(+F17/Assumptions!$F$12,2)</f>
        <v>0.47</v>
      </c>
      <c r="H17">
        <f>ROUND(+F17*Assumptions!$F$4,0)</f>
        <v>242</v>
      </c>
      <c r="I17" s="15"/>
    </row>
    <row r="18" spans="2:9" ht="15">
      <c r="B18" t="s">
        <v>58</v>
      </c>
      <c r="F18" s="3">
        <f>Details!E103</f>
        <v>24.5</v>
      </c>
      <c r="G18" s="3">
        <f>ROUND(+F18/Assumptions!$F$12,2)</f>
        <v>1.44</v>
      </c>
      <c r="H18">
        <f>ROUND(+F18*Assumptions!$F$4,0)</f>
        <v>735</v>
      </c>
      <c r="I18" s="15"/>
    </row>
    <row r="19" spans="2:9" ht="15">
      <c r="B19" t="s">
        <v>59</v>
      </c>
      <c r="F19" s="4">
        <f>Details!E108</f>
        <v>10</v>
      </c>
      <c r="G19" s="3">
        <f>ROUND(+F19/Assumptions!$F$12,2)</f>
        <v>0.59</v>
      </c>
      <c r="H19">
        <f>ROUND(+F19*Assumptions!$F$4,0)</f>
        <v>300</v>
      </c>
      <c r="I19" s="15"/>
    </row>
    <row r="20" spans="2:9" ht="15">
      <c r="B20" t="s">
        <v>60</v>
      </c>
      <c r="F20" s="6">
        <f>Details!E114</f>
        <v>3.33</v>
      </c>
      <c r="G20" s="6">
        <f>ROUND(+F20/Assumptions!$F$12,2)</f>
        <v>0.2</v>
      </c>
      <c r="H20" s="7">
        <f>ROUND(+F20*Assumptions!$F$4,0)</f>
        <v>100</v>
      </c>
      <c r="I20" s="15"/>
    </row>
    <row r="21" spans="2:9" ht="15">
      <c r="B21" t="s">
        <v>61</v>
      </c>
      <c r="F21" s="3">
        <f>SUM(F10:F20)</f>
        <v>308.1533333333333</v>
      </c>
      <c r="G21" s="3">
        <f>SUM(G10:G20)</f>
        <v>18.13</v>
      </c>
      <c r="H21">
        <f>SUM(H10:H20)</f>
        <v>9245</v>
      </c>
      <c r="I21" s="15"/>
    </row>
    <row r="22" spans="2:9" ht="15">
      <c r="B22" t="s">
        <v>62</v>
      </c>
      <c r="F22" s="6">
        <f>Details!E120</f>
        <v>10.01</v>
      </c>
      <c r="G22" s="6">
        <f>ROUND(+F22/Assumptions!$F$12,2)</f>
        <v>0.59</v>
      </c>
      <c r="H22" s="7">
        <f>ROUND(+F22*Assumptions!$F$4,2)</f>
        <v>300.3</v>
      </c>
      <c r="I22" s="15"/>
    </row>
    <row r="23" spans="2:9" ht="15.75">
      <c r="B23" s="5" t="s">
        <v>63</v>
      </c>
      <c r="C23" s="5"/>
      <c r="D23" s="5"/>
      <c r="E23" s="5"/>
      <c r="F23" s="8">
        <f>F21+F22</f>
        <v>318.1633333333333</v>
      </c>
      <c r="G23" s="8">
        <f>G21+G22</f>
        <v>18.72</v>
      </c>
      <c r="H23" s="9">
        <f>H21+H22</f>
        <v>9545.3</v>
      </c>
      <c r="I23" s="15"/>
    </row>
    <row r="24" ht="15">
      <c r="G24" s="1"/>
    </row>
    <row r="25" spans="2:7" ht="15.75">
      <c r="B25" s="5" t="s">
        <v>64</v>
      </c>
      <c r="G25" s="1"/>
    </row>
    <row r="26" spans="2:9" ht="15">
      <c r="B26" t="s">
        <v>65</v>
      </c>
      <c r="G26" s="1"/>
      <c r="I26" s="16"/>
    </row>
    <row r="27" spans="2:9" ht="15">
      <c r="B27" t="s">
        <v>66</v>
      </c>
      <c r="F27" s="3">
        <f>Details!E157</f>
        <v>41.85</v>
      </c>
      <c r="G27" s="3">
        <f>ROUND(+F27/Assumptions!$F$12,2)</f>
        <v>2.46</v>
      </c>
      <c r="H27">
        <f>ROUND(+F27*Assumptions!$F$4,0)</f>
        <v>1256</v>
      </c>
      <c r="I27" s="14"/>
    </row>
    <row r="28" spans="2:9" ht="15">
      <c r="B28" t="s">
        <v>67</v>
      </c>
      <c r="F28" s="3">
        <f>Details!E178</f>
        <v>16.45</v>
      </c>
      <c r="G28" s="3">
        <f>ROUND(+F28/Assumptions!$F$12,2)</f>
        <v>0.97</v>
      </c>
      <c r="H28">
        <f>ROUND(+F28*Assumptions!$F$4,0)</f>
        <v>494</v>
      </c>
      <c r="I28" s="15"/>
    </row>
    <row r="29" spans="2:9" ht="15">
      <c r="B29" t="s">
        <v>68</v>
      </c>
      <c r="F29" s="3">
        <f>Details!E185</f>
        <v>36</v>
      </c>
      <c r="G29" s="3">
        <f>ROUND(+F29/Assumptions!$F$12,2)</f>
        <v>2.12</v>
      </c>
      <c r="H29">
        <f>ROUND(+F29*Assumptions!$F$4,0)</f>
        <v>1080</v>
      </c>
      <c r="I29" s="15"/>
    </row>
    <row r="30" spans="2:9" ht="15">
      <c r="B30" t="s">
        <v>69</v>
      </c>
      <c r="F30" s="3" t="s">
        <v>0</v>
      </c>
      <c r="G30" s="3"/>
      <c r="I30" s="15"/>
    </row>
    <row r="31" spans="2:9" ht="15">
      <c r="B31" t="s">
        <v>70</v>
      </c>
      <c r="F31" s="3">
        <f>Details!E196</f>
        <v>20.46</v>
      </c>
      <c r="G31" s="3">
        <f>ROUND(+F31/Assumptions!$F$12,2)</f>
        <v>1.2</v>
      </c>
      <c r="H31">
        <f>ROUND(+F31*Assumptions!$F$4,0)</f>
        <v>614</v>
      </c>
      <c r="I31" s="15"/>
    </row>
    <row r="32" spans="2:9" ht="15">
      <c r="B32" t="s">
        <v>71</v>
      </c>
      <c r="F32" s="3">
        <f>Details!E220</f>
        <v>6.390000000000001</v>
      </c>
      <c r="G32" s="3">
        <f>ROUND(+F32/Assumptions!$F$12,2)</f>
        <v>0.38</v>
      </c>
      <c r="H32">
        <f>ROUND(+F32*Assumptions!$F$4,0)</f>
        <v>192</v>
      </c>
      <c r="I32" s="15"/>
    </row>
    <row r="33" spans="2:9" ht="15">
      <c r="B33" t="s">
        <v>72</v>
      </c>
      <c r="F33" s="3">
        <f>Details!E225</f>
        <v>48</v>
      </c>
      <c r="G33" s="3">
        <f>ROUND(+F33/Assumptions!$F$12,2)</f>
        <v>2.82</v>
      </c>
      <c r="H33">
        <f>ROUND(+F33*Assumptions!$F$4,0)</f>
        <v>1440</v>
      </c>
      <c r="I33" s="15"/>
    </row>
    <row r="34" spans="2:9" ht="15">
      <c r="B34" t="s">
        <v>73</v>
      </c>
      <c r="F34" s="6">
        <f>Details!E240</f>
        <v>41.6</v>
      </c>
      <c r="G34" s="6">
        <f>ROUND(+F34/Assumptions!$F$12,2)</f>
        <v>2.45</v>
      </c>
      <c r="H34" s="7">
        <f>ROUND(+F34*Assumptions!$F$4,0)</f>
        <v>1248</v>
      </c>
      <c r="I34" s="15"/>
    </row>
    <row r="35" spans="2:9" ht="15.75">
      <c r="B35" s="5" t="s">
        <v>74</v>
      </c>
      <c r="C35" s="5"/>
      <c r="D35" s="5"/>
      <c r="E35" s="5"/>
      <c r="F35" s="8">
        <f>SUM(F27:F34)</f>
        <v>210.74999999999997</v>
      </c>
      <c r="G35" s="8">
        <f>SUM(G27:G34)</f>
        <v>12.399999999999999</v>
      </c>
      <c r="H35" s="9">
        <f>SUM(H27:H34)</f>
        <v>6324</v>
      </c>
      <c r="I35" s="15"/>
    </row>
    <row r="36" ht="15">
      <c r="G36" s="1"/>
    </row>
    <row r="37" spans="2:9" ht="15.75">
      <c r="B37" s="5" t="s">
        <v>75</v>
      </c>
      <c r="F37" s="8">
        <f>Details!E245</f>
        <v>50</v>
      </c>
      <c r="G37" s="8">
        <f>ROUND(+F37/Assumptions!$F$12,2)</f>
        <v>2.94</v>
      </c>
      <c r="H37" s="9">
        <f>ROUND(+F37*Assumptions!$F$4,0)</f>
        <v>1500</v>
      </c>
      <c r="I37" s="14"/>
    </row>
    <row r="39" spans="2:9" ht="15.75">
      <c r="B39" s="5" t="s">
        <v>76</v>
      </c>
      <c r="C39" s="5"/>
      <c r="D39" s="5"/>
      <c r="E39" s="5"/>
      <c r="F39" s="8">
        <f>F23+F35+F37</f>
        <v>578.9133333333333</v>
      </c>
      <c r="G39" s="8">
        <f>G23+G35+G37</f>
        <v>34.059999999999995</v>
      </c>
      <c r="H39" s="9">
        <f>H23+H35+H37</f>
        <v>17369.3</v>
      </c>
      <c r="I39" s="14"/>
    </row>
    <row r="41" spans="2:11" ht="15">
      <c r="B41" s="102" t="s">
        <v>217</v>
      </c>
      <c r="C41" s="103"/>
      <c r="D41" s="103"/>
      <c r="E41" s="103"/>
      <c r="F41" s="103"/>
      <c r="G41" s="103"/>
      <c r="H41" s="103"/>
      <c r="I41" s="103"/>
      <c r="J41" s="28"/>
      <c r="K41" s="28"/>
    </row>
    <row r="42" spans="2:11" ht="15">
      <c r="B42" s="103"/>
      <c r="C42" s="103"/>
      <c r="D42" s="103"/>
      <c r="E42" s="103"/>
      <c r="F42" s="103"/>
      <c r="G42" s="103"/>
      <c r="H42" s="103"/>
      <c r="I42" s="103"/>
      <c r="J42" s="28"/>
      <c r="K42" s="28"/>
    </row>
  </sheetData>
  <sheetProtection password="C7C6" sheet="1" objects="1" scenarios="1"/>
  <mergeCells count="3">
    <mergeCell ref="B3:J3"/>
    <mergeCell ref="B2:I2"/>
    <mergeCell ref="B41:I42"/>
  </mergeCells>
  <printOptions/>
  <pageMargins left="0.75" right="0.75" top="1" bottom="1" header="0.5" footer="0.5"/>
  <pageSetup firstPageNumber="2" useFirstPageNumber="1" horizontalDpi="300" verticalDpi="300" orientation="portrait" scale="97" r:id="rId1"/>
  <headerFooter alignWithMargins="0">
    <oddHeader>&amp;LElk Velvet Bull Costs</oddHeader>
    <oddFooter>&amp;C&amp;P&amp;R&amp;10Manitoba Agriculture and Food
&amp;"Arial,Italic"Farm Management</oddFooter>
  </headerFooter>
</worksheet>
</file>

<file path=xl/worksheets/sheet4.xml><?xml version="1.0" encoding="utf-8"?>
<worksheet xmlns="http://schemas.openxmlformats.org/spreadsheetml/2006/main" xmlns:r="http://schemas.openxmlformats.org/officeDocument/2006/relationships">
  <sheetPr codeName="Sheet4"/>
  <dimension ref="A1:K254"/>
  <sheetViews>
    <sheetView showGridLines="0" workbookViewId="0" topLeftCell="A1">
      <selection activeCell="A1" sqref="A1"/>
    </sheetView>
  </sheetViews>
  <sheetFormatPr defaultColWidth="8.88671875" defaultRowHeight="15"/>
  <cols>
    <col min="1" max="1" width="5.88671875" style="32" customWidth="1"/>
    <col min="2" max="3" width="8.88671875" style="32" customWidth="1"/>
    <col min="4" max="4" width="2.6640625" style="32" customWidth="1"/>
    <col min="5" max="5" width="10.88671875" style="32" bestFit="1" customWidth="1"/>
    <col min="6" max="6" width="2.5546875" style="32" customWidth="1"/>
    <col min="7" max="8" width="8.88671875" style="32" customWidth="1"/>
    <col min="9" max="9" width="5.21484375" style="32" customWidth="1"/>
    <col min="10" max="10" width="10.99609375" style="32" customWidth="1"/>
    <col min="11" max="16384" width="8.88671875" style="32" customWidth="1"/>
  </cols>
  <sheetData>
    <row r="1" spans="1:9" ht="15.75">
      <c r="A1" s="55"/>
      <c r="B1" s="56" t="s">
        <v>1</v>
      </c>
      <c r="C1" s="56"/>
      <c r="D1" s="56"/>
      <c r="E1" s="56"/>
      <c r="F1" s="56"/>
      <c r="G1" s="56"/>
      <c r="H1" s="55"/>
      <c r="I1" s="55" t="s">
        <v>0</v>
      </c>
    </row>
    <row r="2" spans="1:11" ht="15.75">
      <c r="A2" s="55"/>
      <c r="B2" s="110" t="str">
        <f>"ELK VELVET BULL PRODUCTION COST WORKSHEET - "&amp;Introduction!G6</f>
        <v>ELK VELVET BULL PRODUCTION COST WORKSHEET - September, 2003</v>
      </c>
      <c r="C2" s="111"/>
      <c r="D2" s="111"/>
      <c r="E2" s="111"/>
      <c r="F2" s="111"/>
      <c r="G2" s="111"/>
      <c r="H2" s="111"/>
      <c r="I2" s="111"/>
      <c r="J2" s="111"/>
      <c r="K2" s="57"/>
    </row>
    <row r="3" spans="1:9" ht="15">
      <c r="A3" s="55"/>
      <c r="B3" s="55"/>
      <c r="C3" s="55"/>
      <c r="D3" s="55"/>
      <c r="E3" s="55"/>
      <c r="F3" s="55"/>
      <c r="G3" s="55"/>
      <c r="H3" s="55"/>
      <c r="I3" s="55"/>
    </row>
    <row r="4" spans="1:10" ht="15.75">
      <c r="A4" s="55"/>
      <c r="B4" s="112" t="s">
        <v>126</v>
      </c>
      <c r="C4" s="112"/>
      <c r="D4" s="112"/>
      <c r="E4" s="112"/>
      <c r="F4" s="112"/>
      <c r="G4" s="112"/>
      <c r="H4" s="112"/>
      <c r="I4" s="112"/>
      <c r="J4" s="112"/>
    </row>
    <row r="5" spans="1:9" ht="15">
      <c r="A5" s="55"/>
      <c r="B5" s="55"/>
      <c r="C5" s="55"/>
      <c r="D5" s="55"/>
      <c r="E5" s="55"/>
      <c r="F5" s="55"/>
      <c r="G5" s="55"/>
      <c r="H5" s="55"/>
      <c r="I5" s="55"/>
    </row>
    <row r="6" spans="1:10" ht="15">
      <c r="A6" s="55"/>
      <c r="B6" s="58" t="str">
        <f>"1. This budget outlines the costs for a "&amp;Assumptions!F4&amp;" head elk bull velveting enterprise."</f>
        <v>1. This budget outlines the costs for a 30 head elk bull velveting enterprise.</v>
      </c>
      <c r="C6" s="58"/>
      <c r="D6" s="58"/>
      <c r="E6" s="58"/>
      <c r="F6" s="58"/>
      <c r="G6" s="58"/>
      <c r="H6" s="58"/>
      <c r="I6" s="58"/>
      <c r="J6" s="58"/>
    </row>
    <row r="7" spans="1:10" ht="15">
      <c r="A7" s="55"/>
      <c r="B7" s="59"/>
      <c r="C7" s="59"/>
      <c r="D7" s="59"/>
      <c r="E7" s="59"/>
      <c r="F7" s="59"/>
      <c r="G7" s="59"/>
      <c r="H7" s="59"/>
      <c r="I7" s="59"/>
      <c r="J7" s="59"/>
    </row>
    <row r="8" spans="1:10" ht="15">
      <c r="A8" s="55"/>
      <c r="B8" s="60" t="s">
        <v>127</v>
      </c>
      <c r="C8" s="60"/>
      <c r="D8" s="60"/>
      <c r="E8" s="60"/>
      <c r="F8" s="60"/>
      <c r="G8" s="60"/>
      <c r="H8" s="60"/>
      <c r="I8" s="60"/>
      <c r="J8" s="60"/>
    </row>
    <row r="9" spans="1:10" ht="15">
      <c r="A9" s="55"/>
      <c r="B9" s="60"/>
      <c r="C9" s="60"/>
      <c r="D9" s="60"/>
      <c r="E9" s="60"/>
      <c r="F9" s="60"/>
      <c r="G9" s="60"/>
      <c r="H9" s="60"/>
      <c r="I9" s="60"/>
      <c r="J9" s="60"/>
    </row>
    <row r="10" spans="1:10" ht="15">
      <c r="A10" s="55"/>
      <c r="B10" s="61" t="str">
        <f>"3. Death loss was estimated at "&amp;Assumptions!F13&amp;"%."</f>
        <v>3. Death loss was estimated at 1%.</v>
      </c>
      <c r="C10" s="60"/>
      <c r="D10" s="60"/>
      <c r="E10" s="60"/>
      <c r="F10" s="60"/>
      <c r="G10" s="60"/>
      <c r="H10" s="60"/>
      <c r="I10" s="60"/>
      <c r="J10" s="60"/>
    </row>
    <row r="11" spans="1:10" ht="15">
      <c r="A11" s="55"/>
      <c r="B11" s="60"/>
      <c r="C11" s="60"/>
      <c r="D11" s="60"/>
      <c r="E11" s="60"/>
      <c r="F11" s="60"/>
      <c r="G11" s="60"/>
      <c r="H11" s="60"/>
      <c r="I11" s="60"/>
      <c r="J11" s="60"/>
    </row>
    <row r="12" spans="1:10" ht="15">
      <c r="A12" s="55"/>
      <c r="B12" s="113" t="str">
        <f>"4. Production of velvet antlers was assumed to average "&amp;Assumptions!F12&amp;" lbs per year over the 10 years of productive life."</f>
        <v>4. Production of velvet antlers was assumed to average 17 lbs per year over the 10 years of productive life.</v>
      </c>
      <c r="C12" s="113"/>
      <c r="D12" s="113"/>
      <c r="E12" s="113"/>
      <c r="F12" s="113"/>
      <c r="G12" s="113"/>
      <c r="H12" s="113"/>
      <c r="I12" s="113"/>
      <c r="J12" s="113"/>
    </row>
    <row r="13" spans="1:10" ht="15">
      <c r="A13" s="55"/>
      <c r="B13" s="113"/>
      <c r="C13" s="113"/>
      <c r="D13" s="113"/>
      <c r="E13" s="113"/>
      <c r="F13" s="113"/>
      <c r="G13" s="113"/>
      <c r="H13" s="113"/>
      <c r="I13" s="113"/>
      <c r="J13" s="113"/>
    </row>
    <row r="14" spans="1:10" ht="15">
      <c r="A14" s="55"/>
      <c r="B14" s="60"/>
      <c r="C14" s="60"/>
      <c r="D14" s="60"/>
      <c r="E14" s="60"/>
      <c r="F14" s="60"/>
      <c r="G14" s="60"/>
      <c r="H14" s="60"/>
      <c r="I14" s="60"/>
      <c r="J14" s="60"/>
    </row>
    <row r="15" spans="1:10" ht="15">
      <c r="A15" s="55"/>
      <c r="B15" s="115" t="str">
        <f>"5. The Elk enterprise is situated on a "&amp;Assumptions!F15&amp;" acre parcel of land with an average value of $"&amp;Assumptions!F16&amp;" per acre."</f>
        <v>5. The Elk enterprise is situated on a 60 acre parcel of land with an average value of $300 per acre.</v>
      </c>
      <c r="C15" s="115"/>
      <c r="D15" s="115"/>
      <c r="E15" s="115"/>
      <c r="F15" s="115"/>
      <c r="G15" s="115"/>
      <c r="H15" s="115"/>
      <c r="I15" s="115"/>
      <c r="J15" s="115"/>
    </row>
    <row r="16" spans="1:10" ht="15">
      <c r="A16" s="55"/>
      <c r="B16" s="115"/>
      <c r="C16" s="115"/>
      <c r="D16" s="115"/>
      <c r="E16" s="115"/>
      <c r="F16" s="115"/>
      <c r="G16" s="115"/>
      <c r="H16" s="115"/>
      <c r="I16" s="115"/>
      <c r="J16" s="115"/>
    </row>
    <row r="17" spans="1:10" ht="15">
      <c r="A17" s="55"/>
      <c r="B17" s="115"/>
      <c r="C17" s="115"/>
      <c r="D17" s="115"/>
      <c r="E17" s="115"/>
      <c r="F17" s="115"/>
      <c r="G17" s="115"/>
      <c r="H17" s="115"/>
      <c r="I17" s="115"/>
      <c r="J17" s="115"/>
    </row>
    <row r="18" spans="1:9" ht="15">
      <c r="A18" s="55"/>
      <c r="B18" s="55"/>
      <c r="C18" s="55"/>
      <c r="D18" s="55"/>
      <c r="E18" s="55"/>
      <c r="F18" s="55"/>
      <c r="G18" s="55"/>
      <c r="H18" s="55"/>
      <c r="I18" s="55"/>
    </row>
    <row r="19" spans="1:9" ht="15">
      <c r="A19" s="55"/>
      <c r="B19" s="55"/>
      <c r="C19" s="55"/>
      <c r="D19" s="55"/>
      <c r="E19" s="55"/>
      <c r="F19" s="55"/>
      <c r="G19" s="55"/>
      <c r="H19" s="55"/>
      <c r="I19" s="55"/>
    </row>
    <row r="20" spans="1:9" ht="15.75">
      <c r="A20" s="55"/>
      <c r="B20" s="41" t="s">
        <v>42</v>
      </c>
      <c r="C20" s="55"/>
      <c r="D20" s="55"/>
      <c r="E20" s="55"/>
      <c r="F20" s="55"/>
      <c r="G20" s="55"/>
      <c r="H20" s="55"/>
      <c r="I20" s="55"/>
    </row>
    <row r="21" spans="1:10" ht="15.75">
      <c r="A21" s="55"/>
      <c r="B21" s="55"/>
      <c r="C21" s="55"/>
      <c r="D21" s="55"/>
      <c r="E21" s="55"/>
      <c r="F21" s="55"/>
      <c r="G21" s="55"/>
      <c r="H21" s="55"/>
      <c r="I21" s="55"/>
      <c r="J21" s="52" t="s">
        <v>125</v>
      </c>
    </row>
    <row r="22" spans="1:9" ht="15.75">
      <c r="A22" s="55" t="s">
        <v>0</v>
      </c>
      <c r="B22" s="41" t="s">
        <v>46</v>
      </c>
      <c r="C22" s="55"/>
      <c r="D22" s="55"/>
      <c r="E22" s="55"/>
      <c r="F22" s="55"/>
      <c r="G22" s="55"/>
      <c r="H22" s="55"/>
      <c r="I22" s="55"/>
    </row>
    <row r="23" spans="1:9" ht="15.75">
      <c r="A23" s="55"/>
      <c r="B23" s="41" t="s">
        <v>77</v>
      </c>
      <c r="C23" s="55"/>
      <c r="D23" s="55"/>
      <c r="E23" s="55"/>
      <c r="F23" s="55"/>
      <c r="G23" s="55"/>
      <c r="H23" s="55"/>
      <c r="I23" s="55"/>
    </row>
    <row r="24" spans="1:10" ht="15">
      <c r="A24" s="55"/>
      <c r="B24" s="55"/>
      <c r="C24" s="55"/>
      <c r="D24" s="55"/>
      <c r="E24" s="62">
        <f>Assumptions!D25</f>
        <v>7</v>
      </c>
      <c r="F24" s="55"/>
      <c r="G24" s="55" t="s">
        <v>78</v>
      </c>
      <c r="H24" s="55"/>
      <c r="I24" s="55"/>
      <c r="J24" s="63"/>
    </row>
    <row r="25" spans="1:10" ht="15">
      <c r="A25" s="55"/>
      <c r="B25" s="55"/>
      <c r="C25" s="55"/>
      <c r="D25" s="64" t="s">
        <v>79</v>
      </c>
      <c r="E25" s="55">
        <f>Assumptions!E25</f>
        <v>185</v>
      </c>
      <c r="F25" s="55"/>
      <c r="G25" s="55" t="s">
        <v>80</v>
      </c>
      <c r="H25" s="55"/>
      <c r="I25" s="55"/>
      <c r="J25" s="65"/>
    </row>
    <row r="26" spans="1:10" ht="15">
      <c r="A26" s="55"/>
      <c r="B26" s="55"/>
      <c r="C26" s="55"/>
      <c r="D26" s="64" t="s">
        <v>81</v>
      </c>
      <c r="E26" s="55">
        <v>1000</v>
      </c>
      <c r="F26" s="55"/>
      <c r="G26" s="55" t="s">
        <v>82</v>
      </c>
      <c r="H26" s="55"/>
      <c r="I26" s="55"/>
      <c r="J26" s="65"/>
    </row>
    <row r="27" spans="1:10" ht="15">
      <c r="A27" s="55"/>
      <c r="B27" s="55"/>
      <c r="C27" s="55"/>
      <c r="D27" s="64" t="s">
        <v>79</v>
      </c>
      <c r="E27" s="66">
        <f>Assumptions!F25</f>
        <v>60</v>
      </c>
      <c r="F27" s="47"/>
      <c r="G27" s="47" t="s">
        <v>83</v>
      </c>
      <c r="H27" s="55"/>
      <c r="I27" s="55"/>
      <c r="J27" s="65"/>
    </row>
    <row r="28" spans="1:10" ht="15.75">
      <c r="A28" s="55"/>
      <c r="B28" s="55"/>
      <c r="C28" s="55"/>
      <c r="D28" s="67" t="s">
        <v>84</v>
      </c>
      <c r="E28" s="68">
        <f>ROUND((E24*E25/E26)*E27,2)</f>
        <v>77.7</v>
      </c>
      <c r="F28" s="41"/>
      <c r="G28" s="41" t="s">
        <v>120</v>
      </c>
      <c r="H28" s="55"/>
      <c r="I28" s="55"/>
      <c r="J28" s="65"/>
    </row>
    <row r="29" spans="1:9" ht="15">
      <c r="A29" s="55"/>
      <c r="B29" s="55"/>
      <c r="C29" s="55"/>
      <c r="D29" s="55"/>
      <c r="E29" s="55"/>
      <c r="F29" s="55"/>
      <c r="G29" s="55"/>
      <c r="H29" s="55"/>
      <c r="I29" s="55"/>
    </row>
    <row r="30" spans="1:9" ht="15.75">
      <c r="A30" s="55"/>
      <c r="B30" s="41" t="s">
        <v>85</v>
      </c>
      <c r="C30" s="55"/>
      <c r="D30" s="55"/>
      <c r="E30" s="55"/>
      <c r="F30" s="55"/>
      <c r="G30" s="55"/>
      <c r="H30" s="55"/>
      <c r="I30" s="55"/>
    </row>
    <row r="31" spans="1:10" ht="15">
      <c r="A31" s="55"/>
      <c r="B31" s="55" t="s">
        <v>0</v>
      </c>
      <c r="C31" s="55"/>
      <c r="D31" s="55"/>
      <c r="E31" s="62">
        <f>Assumptions!D26</f>
        <v>3</v>
      </c>
      <c r="F31" s="55"/>
      <c r="G31" s="55" t="s">
        <v>86</v>
      </c>
      <c r="H31" s="55"/>
      <c r="I31" s="55"/>
      <c r="J31" s="63"/>
    </row>
    <row r="32" spans="1:10" ht="15">
      <c r="A32" s="55" t="s">
        <v>0</v>
      </c>
      <c r="B32" s="55"/>
      <c r="C32" s="55"/>
      <c r="D32" s="64" t="s">
        <v>79</v>
      </c>
      <c r="E32" s="55">
        <f>Assumptions!E26</f>
        <v>185</v>
      </c>
      <c r="F32" s="55"/>
      <c r="G32" s="55" t="s">
        <v>80</v>
      </c>
      <c r="H32" s="55"/>
      <c r="I32" s="55"/>
      <c r="J32" s="63"/>
    </row>
    <row r="33" spans="1:10" ht="15">
      <c r="A33" s="55" t="s">
        <v>0</v>
      </c>
      <c r="B33" s="55" t="s">
        <v>0</v>
      </c>
      <c r="C33" s="55"/>
      <c r="D33" s="64" t="s">
        <v>81</v>
      </c>
      <c r="E33" s="55">
        <v>1000</v>
      </c>
      <c r="F33" s="55"/>
      <c r="G33" s="55" t="s">
        <v>82</v>
      </c>
      <c r="H33" s="55"/>
      <c r="I33" s="55" t="s">
        <v>0</v>
      </c>
      <c r="J33" s="65"/>
    </row>
    <row r="34" spans="1:10" ht="15">
      <c r="A34" s="55"/>
      <c r="B34" s="55"/>
      <c r="C34" s="55"/>
      <c r="D34" s="64" t="s">
        <v>79</v>
      </c>
      <c r="E34" s="66">
        <f>Assumptions!F26</f>
        <v>90</v>
      </c>
      <c r="F34" s="47"/>
      <c r="G34" s="47" t="s">
        <v>83</v>
      </c>
      <c r="H34" s="55"/>
      <c r="I34" s="55"/>
      <c r="J34" s="65"/>
    </row>
    <row r="35" spans="1:10" ht="15.75">
      <c r="A35" s="55" t="s">
        <v>0</v>
      </c>
      <c r="B35" s="55"/>
      <c r="C35" s="55"/>
      <c r="D35" s="64" t="s">
        <v>84</v>
      </c>
      <c r="E35" s="68">
        <f>ROUND((E31*E32/1000)*E34,2)</f>
        <v>49.95</v>
      </c>
      <c r="F35" s="41"/>
      <c r="G35" s="41" t="s">
        <v>120</v>
      </c>
      <c r="H35" s="55"/>
      <c r="I35" s="55"/>
      <c r="J35" s="65"/>
    </row>
    <row r="36" spans="1:9" ht="15">
      <c r="A36" s="55"/>
      <c r="B36" s="55"/>
      <c r="C36" s="55"/>
      <c r="D36" s="55"/>
      <c r="E36" s="55"/>
      <c r="F36" s="55"/>
      <c r="G36" s="55"/>
      <c r="H36" s="55"/>
      <c r="I36" s="55"/>
    </row>
    <row r="37" spans="1:9" ht="15.75">
      <c r="A37" s="55"/>
      <c r="B37" s="41" t="s">
        <v>87</v>
      </c>
      <c r="C37" s="55"/>
      <c r="D37" s="55"/>
      <c r="E37" s="55"/>
      <c r="F37" s="55"/>
      <c r="G37" s="55"/>
      <c r="H37" s="55"/>
      <c r="I37" s="55"/>
    </row>
    <row r="38" spans="1:10" ht="15">
      <c r="A38" s="55"/>
      <c r="B38" s="55"/>
      <c r="C38" s="55"/>
      <c r="D38" s="55"/>
      <c r="E38" s="62">
        <f>Assumptions!D27</f>
        <v>0.5</v>
      </c>
      <c r="F38" s="55"/>
      <c r="G38" s="55" t="s">
        <v>88</v>
      </c>
      <c r="H38" s="55"/>
      <c r="I38" s="55"/>
      <c r="J38" s="63"/>
    </row>
    <row r="39" spans="1:10" ht="15">
      <c r="A39" s="55"/>
      <c r="B39" s="55"/>
      <c r="C39" s="55"/>
      <c r="D39" s="64" t="s">
        <v>79</v>
      </c>
      <c r="E39" s="55">
        <f>Assumptions!E27</f>
        <v>365</v>
      </c>
      <c r="F39" s="55"/>
      <c r="G39" s="55" t="s">
        <v>80</v>
      </c>
      <c r="H39" s="55"/>
      <c r="I39" s="55"/>
      <c r="J39" s="65"/>
    </row>
    <row r="40" spans="1:10" ht="15">
      <c r="A40" s="55"/>
      <c r="B40" s="55"/>
      <c r="C40" s="55"/>
      <c r="D40" s="64" t="s">
        <v>81</v>
      </c>
      <c r="E40" s="55">
        <v>1000</v>
      </c>
      <c r="F40" s="55"/>
      <c r="G40" s="55" t="s">
        <v>82</v>
      </c>
      <c r="H40" s="55"/>
      <c r="I40" s="55"/>
      <c r="J40" s="65"/>
    </row>
    <row r="41" spans="1:10" ht="15">
      <c r="A41" s="55"/>
      <c r="B41" s="55"/>
      <c r="C41" s="55"/>
      <c r="D41" s="64" t="s">
        <v>79</v>
      </c>
      <c r="E41" s="66">
        <f>Assumptions!F27</f>
        <v>270</v>
      </c>
      <c r="F41" s="47"/>
      <c r="G41" s="47" t="s">
        <v>83</v>
      </c>
      <c r="H41" s="55"/>
      <c r="I41" s="55"/>
      <c r="J41" s="65"/>
    </row>
    <row r="42" spans="1:10" ht="15.75">
      <c r="A42" s="55"/>
      <c r="B42" s="55"/>
      <c r="C42" s="55"/>
      <c r="D42" s="67" t="s">
        <v>84</v>
      </c>
      <c r="E42" s="68">
        <f>ROUND((E38*E39/1000)*E41,2)</f>
        <v>49.28</v>
      </c>
      <c r="F42" s="41"/>
      <c r="G42" s="41" t="s">
        <v>120</v>
      </c>
      <c r="H42" s="55"/>
      <c r="I42" s="55"/>
      <c r="J42" s="65"/>
    </row>
    <row r="43" spans="1:9" ht="15">
      <c r="A43" s="55"/>
      <c r="B43" s="55"/>
      <c r="C43" s="55"/>
      <c r="D43" s="55"/>
      <c r="E43" s="55"/>
      <c r="F43" s="55"/>
      <c r="G43" s="55"/>
      <c r="H43" s="55"/>
      <c r="I43" s="55"/>
    </row>
    <row r="44" spans="1:9" ht="15.75">
      <c r="A44" s="55"/>
      <c r="B44" s="41" t="s">
        <v>51</v>
      </c>
      <c r="C44" s="55"/>
      <c r="D44" s="55"/>
      <c r="E44" s="55"/>
      <c r="F44" s="55"/>
      <c r="G44" s="55"/>
      <c r="H44" s="55"/>
      <c r="I44" s="55"/>
    </row>
    <row r="45" spans="1:9" ht="15">
      <c r="A45" s="55"/>
      <c r="B45" s="55"/>
      <c r="C45" s="55"/>
      <c r="D45" s="55"/>
      <c r="E45" s="55"/>
      <c r="F45" s="55"/>
      <c r="G45" s="55"/>
      <c r="H45" s="55"/>
      <c r="I45" s="55"/>
    </row>
    <row r="46" spans="1:9" ht="15.75">
      <c r="A46" s="55"/>
      <c r="B46" s="41" t="s">
        <v>89</v>
      </c>
      <c r="C46" s="55"/>
      <c r="D46" s="55"/>
      <c r="E46" s="55"/>
      <c r="F46" s="55"/>
      <c r="G46" s="55"/>
      <c r="H46" s="55"/>
      <c r="I46" s="55"/>
    </row>
    <row r="47" spans="1:9" ht="15">
      <c r="A47" s="55"/>
      <c r="B47" s="55"/>
      <c r="D47" s="55"/>
      <c r="E47" s="69">
        <f>Assumptions!E31</f>
        <v>20</v>
      </c>
      <c r="F47" s="55"/>
      <c r="G47" s="70" t="s">
        <v>183</v>
      </c>
      <c r="H47" s="55"/>
      <c r="I47" s="55"/>
    </row>
    <row r="48" spans="1:9" ht="15">
      <c r="A48" s="55"/>
      <c r="B48" s="55"/>
      <c r="D48" s="71" t="s">
        <v>90</v>
      </c>
      <c r="E48" s="72">
        <f>Assumptions!E32</f>
        <v>0</v>
      </c>
      <c r="F48" s="53"/>
      <c r="G48" s="73" t="s">
        <v>184</v>
      </c>
      <c r="H48" s="53"/>
      <c r="I48" s="55"/>
    </row>
    <row r="49" spans="1:9" ht="15.75">
      <c r="A49" s="55"/>
      <c r="B49" s="55"/>
      <c r="D49" s="64" t="s">
        <v>84</v>
      </c>
      <c r="E49" s="69">
        <f>E47+E48</f>
        <v>20</v>
      </c>
      <c r="F49" s="55"/>
      <c r="G49" s="41" t="s">
        <v>120</v>
      </c>
      <c r="H49" s="55"/>
      <c r="I49" s="55"/>
    </row>
    <row r="50" spans="1:9" ht="15">
      <c r="A50" s="55" t="s">
        <v>0</v>
      </c>
      <c r="B50" s="55"/>
      <c r="C50" s="55"/>
      <c r="D50" s="55"/>
      <c r="E50" s="55"/>
      <c r="F50" s="55"/>
      <c r="G50" s="55"/>
      <c r="H50" s="55"/>
      <c r="I50" s="55"/>
    </row>
    <row r="51" spans="1:9" ht="15.75">
      <c r="A51" s="55" t="s">
        <v>0</v>
      </c>
      <c r="B51" s="41" t="s">
        <v>91</v>
      </c>
      <c r="C51" s="55"/>
      <c r="D51" s="55"/>
      <c r="E51" s="55"/>
      <c r="F51" s="55"/>
      <c r="G51" s="55"/>
      <c r="H51" s="55"/>
      <c r="I51" s="55"/>
    </row>
    <row r="52" spans="1:10" ht="15">
      <c r="A52" s="55" t="s">
        <v>0</v>
      </c>
      <c r="B52" s="55" t="s">
        <v>92</v>
      </c>
      <c r="C52" s="55"/>
      <c r="D52" s="55"/>
      <c r="E52" s="74">
        <f>Assumptions!E35</f>
        <v>300</v>
      </c>
      <c r="F52" s="55"/>
      <c r="G52" s="55" t="s">
        <v>144</v>
      </c>
      <c r="H52" s="55"/>
      <c r="I52" s="55"/>
      <c r="J52" s="63"/>
    </row>
    <row r="53" spans="1:10" ht="15">
      <c r="A53" s="55"/>
      <c r="B53" s="55"/>
      <c r="C53" s="55"/>
      <c r="D53" s="64" t="s">
        <v>90</v>
      </c>
      <c r="E53" s="66">
        <f>Assumptions!E36</f>
        <v>200</v>
      </c>
      <c r="F53" s="47"/>
      <c r="G53" s="47" t="s">
        <v>145</v>
      </c>
      <c r="H53" s="47"/>
      <c r="I53" s="55"/>
      <c r="J53" s="65"/>
    </row>
    <row r="54" spans="1:10" ht="15">
      <c r="A54" s="55"/>
      <c r="B54" s="55"/>
      <c r="C54" s="55"/>
      <c r="D54" s="64" t="s">
        <v>84</v>
      </c>
      <c r="E54" s="74">
        <f>E52+E53</f>
        <v>500</v>
      </c>
      <c r="F54" s="55"/>
      <c r="G54" s="55" t="s">
        <v>146</v>
      </c>
      <c r="H54" s="55"/>
      <c r="I54" s="55"/>
      <c r="J54" s="65"/>
    </row>
    <row r="55" spans="1:10" ht="15">
      <c r="A55" s="55"/>
      <c r="B55" s="55"/>
      <c r="C55" s="55"/>
      <c r="D55" s="64" t="s">
        <v>81</v>
      </c>
      <c r="E55" s="47">
        <f>Assumptions!F4</f>
        <v>30</v>
      </c>
      <c r="F55" s="47"/>
      <c r="G55" s="47" t="s">
        <v>139</v>
      </c>
      <c r="H55" s="55"/>
      <c r="I55" s="55"/>
      <c r="J55" s="65"/>
    </row>
    <row r="56" spans="1:10" ht="15">
      <c r="A56" s="55"/>
      <c r="B56" s="55"/>
      <c r="C56" s="55"/>
      <c r="D56" s="64" t="s">
        <v>84</v>
      </c>
      <c r="E56" s="74">
        <f>ROUND(E54/E55,2)</f>
        <v>16.67</v>
      </c>
      <c r="F56" s="55"/>
      <c r="G56" s="55" t="s">
        <v>120</v>
      </c>
      <c r="H56" s="55"/>
      <c r="I56" s="55"/>
      <c r="J56" s="65"/>
    </row>
    <row r="57" spans="1:9" ht="15">
      <c r="A57" s="55"/>
      <c r="C57" s="55"/>
      <c r="D57" s="55"/>
      <c r="E57" s="55"/>
      <c r="F57" s="55"/>
      <c r="G57" s="55"/>
      <c r="H57" s="55"/>
      <c r="I57" s="55"/>
    </row>
    <row r="58" spans="1:10" ht="15">
      <c r="A58" s="55"/>
      <c r="B58" s="55" t="s">
        <v>93</v>
      </c>
      <c r="C58" s="55"/>
      <c r="D58" s="55"/>
      <c r="E58" s="74">
        <f>Assumptions!E37</f>
        <v>400</v>
      </c>
      <c r="F58" s="55"/>
      <c r="G58" s="55" t="s">
        <v>147</v>
      </c>
      <c r="H58" s="55"/>
      <c r="I58" s="55"/>
      <c r="J58" s="63"/>
    </row>
    <row r="59" spans="1:10" ht="15">
      <c r="A59" s="55"/>
      <c r="B59" s="55"/>
      <c r="C59" s="55"/>
      <c r="D59" s="64" t="s">
        <v>81</v>
      </c>
      <c r="E59" s="47">
        <f>Assumptions!F4</f>
        <v>30</v>
      </c>
      <c r="F59" s="47"/>
      <c r="G59" s="47" t="s">
        <v>139</v>
      </c>
      <c r="H59" s="55"/>
      <c r="I59" s="55"/>
      <c r="J59" s="65"/>
    </row>
    <row r="60" spans="1:10" ht="15">
      <c r="A60" s="55"/>
      <c r="B60" s="55"/>
      <c r="C60" s="55"/>
      <c r="D60" s="64" t="s">
        <v>84</v>
      </c>
      <c r="E60" s="74">
        <f>ROUND(E58/E59,2)</f>
        <v>13.33</v>
      </c>
      <c r="F60" s="55"/>
      <c r="G60" s="55" t="s">
        <v>120</v>
      </c>
      <c r="H60" s="55"/>
      <c r="I60" s="55"/>
      <c r="J60" s="65"/>
    </row>
    <row r="61" spans="1:9" ht="15">
      <c r="A61" s="55"/>
      <c r="B61" s="55"/>
      <c r="C61" s="55"/>
      <c r="D61" s="64"/>
      <c r="E61" s="66"/>
      <c r="F61" s="47"/>
      <c r="G61" s="47"/>
      <c r="H61" s="55"/>
      <c r="I61" s="55"/>
    </row>
    <row r="62" spans="1:10" ht="15.75">
      <c r="A62" s="55"/>
      <c r="B62" s="55"/>
      <c r="C62" s="55" t="s">
        <v>94</v>
      </c>
      <c r="D62" s="64" t="s">
        <v>84</v>
      </c>
      <c r="E62" s="68">
        <f>E56+E60</f>
        <v>30</v>
      </c>
      <c r="F62" s="55"/>
      <c r="G62" s="41" t="s">
        <v>120</v>
      </c>
      <c r="H62" s="55"/>
      <c r="I62" s="55"/>
      <c r="J62" s="63"/>
    </row>
    <row r="63" spans="1:9" ht="15">
      <c r="A63" s="55"/>
      <c r="B63" s="55"/>
      <c r="C63" s="55"/>
      <c r="D63" s="55"/>
      <c r="E63" s="55"/>
      <c r="F63" s="55"/>
      <c r="G63" s="55"/>
      <c r="H63" s="55"/>
      <c r="I63" s="55"/>
    </row>
    <row r="64" spans="1:9" ht="15.75">
      <c r="A64" s="55"/>
      <c r="B64" s="41" t="s">
        <v>95</v>
      </c>
      <c r="C64" s="55"/>
      <c r="D64" s="55"/>
      <c r="E64" s="55"/>
      <c r="F64" s="55"/>
      <c r="G64" s="55"/>
      <c r="H64" s="55"/>
      <c r="I64" s="55"/>
    </row>
    <row r="65" spans="1:10" ht="15">
      <c r="A65" s="55"/>
      <c r="B65" s="55"/>
      <c r="C65" s="55"/>
      <c r="D65" s="55"/>
      <c r="E65" s="74">
        <f>Assumptions!E45+Assumptions!E46+Assumptions!E47</f>
        <v>250</v>
      </c>
      <c r="F65" s="55"/>
      <c r="G65" s="55" t="s">
        <v>148</v>
      </c>
      <c r="H65" s="55"/>
      <c r="I65" s="55"/>
      <c r="J65" s="63"/>
    </row>
    <row r="66" spans="1:10" ht="15">
      <c r="A66" s="55"/>
      <c r="B66" s="55"/>
      <c r="C66" s="55"/>
      <c r="D66" s="64" t="s">
        <v>81</v>
      </c>
      <c r="E66" s="47">
        <f>Assumptions!F4</f>
        <v>30</v>
      </c>
      <c r="F66" s="47"/>
      <c r="G66" s="47" t="s">
        <v>139</v>
      </c>
      <c r="H66" s="55"/>
      <c r="I66" s="55"/>
      <c r="J66" s="65"/>
    </row>
    <row r="67" spans="1:10" ht="15.75">
      <c r="A67" s="55"/>
      <c r="B67" s="55"/>
      <c r="C67" s="55"/>
      <c r="D67" s="64" t="s">
        <v>84</v>
      </c>
      <c r="E67" s="68">
        <f>E65/E66</f>
        <v>8.333333333333334</v>
      </c>
      <c r="F67" s="55"/>
      <c r="G67" s="41" t="s">
        <v>120</v>
      </c>
      <c r="H67" s="55"/>
      <c r="I67" s="55"/>
      <c r="J67" s="65"/>
    </row>
    <row r="68" spans="1:9" ht="15">
      <c r="A68" s="55"/>
      <c r="B68" s="55"/>
      <c r="C68" s="55"/>
      <c r="D68" s="55"/>
      <c r="E68" s="55"/>
      <c r="F68" s="55"/>
      <c r="G68" s="55"/>
      <c r="H68" s="55"/>
      <c r="I68" s="55"/>
    </row>
    <row r="69" spans="1:9" ht="15.75">
      <c r="A69" s="55"/>
      <c r="B69" s="41" t="s">
        <v>96</v>
      </c>
      <c r="C69" s="55"/>
      <c r="D69" s="55"/>
      <c r="E69" s="55"/>
      <c r="F69" s="55"/>
      <c r="G69" s="55"/>
      <c r="H69" s="55"/>
      <c r="I69" s="55"/>
    </row>
    <row r="70" spans="1:10" ht="15">
      <c r="A70" s="55"/>
      <c r="B70" s="55"/>
      <c r="C70" s="55"/>
      <c r="D70" s="55"/>
      <c r="E70" s="74">
        <f>Assumptions!E40</f>
        <v>450</v>
      </c>
      <c r="F70" s="55"/>
      <c r="G70" s="55" t="s">
        <v>149</v>
      </c>
      <c r="H70" s="55"/>
      <c r="I70" s="55"/>
      <c r="J70" s="63"/>
    </row>
    <row r="71" spans="1:10" ht="15">
      <c r="A71" s="55"/>
      <c r="B71" s="55"/>
      <c r="C71" s="55"/>
      <c r="D71" s="64" t="s">
        <v>81</v>
      </c>
      <c r="E71" s="47">
        <f>Assumptions!F4</f>
        <v>30</v>
      </c>
      <c r="F71" s="55"/>
      <c r="G71" s="47" t="s">
        <v>139</v>
      </c>
      <c r="H71" s="55"/>
      <c r="I71" s="55"/>
      <c r="J71" s="65"/>
    </row>
    <row r="72" spans="1:10" ht="15.75">
      <c r="A72" s="55"/>
      <c r="B72" s="55"/>
      <c r="C72" s="55"/>
      <c r="D72" s="67" t="s">
        <v>84</v>
      </c>
      <c r="E72" s="68">
        <f>E70/E71</f>
        <v>15</v>
      </c>
      <c r="F72" s="55"/>
      <c r="G72" s="41" t="s">
        <v>120</v>
      </c>
      <c r="H72" s="55"/>
      <c r="I72" s="55"/>
      <c r="J72" s="65"/>
    </row>
    <row r="73" spans="1:9" ht="15">
      <c r="A73" s="55"/>
      <c r="B73" s="55"/>
      <c r="C73" s="55"/>
      <c r="D73" s="55"/>
      <c r="E73" s="55"/>
      <c r="F73" s="55"/>
      <c r="G73" s="55"/>
      <c r="H73" s="55"/>
      <c r="I73" s="55"/>
    </row>
    <row r="74" spans="1:9" ht="15.75">
      <c r="A74" s="55"/>
      <c r="B74" s="41" t="s">
        <v>97</v>
      </c>
      <c r="C74" s="55"/>
      <c r="D74" s="55"/>
      <c r="E74" s="55"/>
      <c r="F74" s="55"/>
      <c r="G74" s="55"/>
      <c r="H74" s="55"/>
      <c r="I74" s="55"/>
    </row>
    <row r="75" spans="1:10" ht="15">
      <c r="A75" s="55"/>
      <c r="B75" s="55"/>
      <c r="C75" s="55"/>
      <c r="D75" s="64" t="s">
        <v>79</v>
      </c>
      <c r="E75" s="75">
        <f>Assumptions!F5</f>
        <v>1200</v>
      </c>
      <c r="F75" s="55"/>
      <c r="G75" s="55" t="s">
        <v>98</v>
      </c>
      <c r="H75" s="55"/>
      <c r="I75" s="55"/>
      <c r="J75" s="63"/>
    </row>
    <row r="76" spans="1:10" ht="15">
      <c r="A76" s="55"/>
      <c r="B76" s="55"/>
      <c r="C76" s="55"/>
      <c r="D76" s="64" t="s">
        <v>79</v>
      </c>
      <c r="E76" s="76">
        <f>Assumptions!F13</f>
        <v>1</v>
      </c>
      <c r="F76" s="47"/>
      <c r="G76" s="47" t="s">
        <v>99</v>
      </c>
      <c r="H76" s="55"/>
      <c r="I76" s="55"/>
      <c r="J76" s="65"/>
    </row>
    <row r="77" spans="1:10" ht="15.75">
      <c r="A77" s="55"/>
      <c r="B77" s="55"/>
      <c r="C77" s="55"/>
      <c r="D77" s="64" t="s">
        <v>84</v>
      </c>
      <c r="E77" s="68">
        <f>ROUND(E75*E76/100,2)</f>
        <v>12</v>
      </c>
      <c r="F77" s="55"/>
      <c r="G77" s="41" t="s">
        <v>120</v>
      </c>
      <c r="H77" s="55"/>
      <c r="I77" s="55"/>
      <c r="J77" s="65"/>
    </row>
    <row r="78" spans="1:9" ht="15">
      <c r="A78" s="55"/>
      <c r="B78" s="55"/>
      <c r="C78" s="55"/>
      <c r="D78" s="55"/>
      <c r="E78" s="55"/>
      <c r="F78" s="55"/>
      <c r="G78" s="55"/>
      <c r="H78" s="55"/>
      <c r="I78" s="55"/>
    </row>
    <row r="79" spans="1:9" ht="15.75">
      <c r="A79" s="55"/>
      <c r="B79" s="41" t="s">
        <v>100</v>
      </c>
      <c r="C79" s="55"/>
      <c r="D79" s="55"/>
      <c r="E79" s="55"/>
      <c r="F79" s="55"/>
      <c r="G79" s="55"/>
      <c r="H79" s="55"/>
      <c r="I79" s="55"/>
    </row>
    <row r="80" spans="1:10" ht="15">
      <c r="A80" s="55"/>
      <c r="B80" s="55"/>
      <c r="C80" s="55"/>
      <c r="D80" s="55"/>
      <c r="E80" s="75">
        <f>Assumptions!D76+Assumptions!D83</f>
        <v>35300</v>
      </c>
      <c r="F80" s="55"/>
      <c r="G80" s="55" t="s">
        <v>150</v>
      </c>
      <c r="H80" s="55"/>
      <c r="I80" s="55"/>
      <c r="J80" s="63"/>
    </row>
    <row r="81" spans="1:10" ht="15">
      <c r="A81" s="55"/>
      <c r="B81" s="55"/>
      <c r="C81" s="55"/>
      <c r="D81" s="64" t="s">
        <v>79</v>
      </c>
      <c r="E81" s="74">
        <f>Assumptions!E52</f>
        <v>0.6</v>
      </c>
      <c r="F81" s="55"/>
      <c r="G81" s="55" t="s">
        <v>152</v>
      </c>
      <c r="H81" s="55"/>
      <c r="I81" s="55"/>
      <c r="J81" s="65"/>
    </row>
    <row r="82" spans="1:10" ht="15">
      <c r="A82" s="55"/>
      <c r="B82" s="55"/>
      <c r="C82" s="55"/>
      <c r="D82" s="64" t="s">
        <v>81</v>
      </c>
      <c r="E82" s="55">
        <v>100</v>
      </c>
      <c r="F82" s="55"/>
      <c r="G82" s="55"/>
      <c r="H82" s="55"/>
      <c r="I82" s="55"/>
      <c r="J82" s="65"/>
    </row>
    <row r="83" spans="1:10" ht="15">
      <c r="A83" s="55"/>
      <c r="B83" s="55"/>
      <c r="C83" s="55"/>
      <c r="D83" s="77" t="s">
        <v>81</v>
      </c>
      <c r="E83" s="78">
        <f>Assumptions!F4</f>
        <v>30</v>
      </c>
      <c r="F83" s="55"/>
      <c r="G83" s="47" t="s">
        <v>139</v>
      </c>
      <c r="H83" s="55"/>
      <c r="I83" s="55"/>
      <c r="J83" s="65"/>
    </row>
    <row r="84" spans="1:10" ht="15">
      <c r="A84" s="55"/>
      <c r="B84" s="55"/>
      <c r="C84" s="55"/>
      <c r="D84" s="64" t="s">
        <v>84</v>
      </c>
      <c r="E84" s="74">
        <f>ROUND(E80*(E81/E82)/E83,2)</f>
        <v>7.06</v>
      </c>
      <c r="F84" s="55"/>
      <c r="G84" s="55" t="s">
        <v>120</v>
      </c>
      <c r="H84" s="55"/>
      <c r="I84" s="55"/>
      <c r="J84" s="65"/>
    </row>
    <row r="85" spans="1:9" ht="15">
      <c r="A85" s="55"/>
      <c r="B85" s="55"/>
      <c r="C85" s="55"/>
      <c r="D85" s="55"/>
      <c r="E85" s="55"/>
      <c r="F85" s="55"/>
      <c r="G85" s="55"/>
      <c r="H85" s="55"/>
      <c r="I85" s="55"/>
    </row>
    <row r="86" spans="1:10" ht="15">
      <c r="A86" s="55"/>
      <c r="B86" s="55"/>
      <c r="C86" s="55"/>
      <c r="D86" s="55"/>
      <c r="E86" s="75">
        <f>Assumptions!D90</f>
        <v>36000</v>
      </c>
      <c r="F86" s="55"/>
      <c r="G86" s="55" t="s">
        <v>151</v>
      </c>
      <c r="H86" s="55"/>
      <c r="I86" s="55"/>
      <c r="J86" s="63"/>
    </row>
    <row r="87" spans="1:10" ht="15">
      <c r="A87" s="55"/>
      <c r="B87" s="55"/>
      <c r="C87" s="55"/>
      <c r="D87" s="64" t="s">
        <v>79</v>
      </c>
      <c r="E87" s="74">
        <f>Assumptions!E51</f>
        <v>0</v>
      </c>
      <c r="F87" s="55"/>
      <c r="G87" s="55" t="s">
        <v>152</v>
      </c>
      <c r="H87" s="55"/>
      <c r="I87" s="55"/>
      <c r="J87" s="65"/>
    </row>
    <row r="88" spans="1:10" ht="15">
      <c r="A88" s="55"/>
      <c r="B88" s="55"/>
      <c r="C88" s="55"/>
      <c r="D88" s="64" t="s">
        <v>81</v>
      </c>
      <c r="E88" s="55">
        <v>100</v>
      </c>
      <c r="F88" s="55"/>
      <c r="G88" s="55"/>
      <c r="H88" s="55"/>
      <c r="I88" s="55"/>
      <c r="J88" s="65"/>
    </row>
    <row r="89" spans="1:10" ht="15">
      <c r="A89" s="55"/>
      <c r="B89" s="55"/>
      <c r="C89" s="55"/>
      <c r="D89" s="64" t="s">
        <v>81</v>
      </c>
      <c r="E89" s="47">
        <f>Assumptions!F4</f>
        <v>30</v>
      </c>
      <c r="F89" s="47"/>
      <c r="G89" s="47" t="s">
        <v>139</v>
      </c>
      <c r="H89" s="55"/>
      <c r="I89" s="55"/>
      <c r="J89" s="65"/>
    </row>
    <row r="90" spans="1:10" ht="15">
      <c r="A90" s="55"/>
      <c r="B90" s="55"/>
      <c r="C90" s="55"/>
      <c r="D90" s="64" t="s">
        <v>84</v>
      </c>
      <c r="E90" s="74">
        <f>ROUND(E86*(E87/E88)/E89,2)</f>
        <v>0</v>
      </c>
      <c r="F90" s="55"/>
      <c r="G90" s="55" t="s">
        <v>120</v>
      </c>
      <c r="H90" s="55"/>
      <c r="I90" s="55"/>
      <c r="J90" s="65"/>
    </row>
    <row r="91" spans="1:9" ht="15">
      <c r="A91" s="55"/>
      <c r="B91" s="55"/>
      <c r="C91" s="55"/>
      <c r="D91" s="55"/>
      <c r="E91" s="55"/>
      <c r="F91" s="55"/>
      <c r="G91" s="55"/>
      <c r="H91" s="55"/>
      <c r="I91" s="55"/>
    </row>
    <row r="92" spans="1:10" ht="15">
      <c r="A92" s="55"/>
      <c r="B92" s="55"/>
      <c r="C92" s="55"/>
      <c r="D92" s="55"/>
      <c r="E92" s="75">
        <f>Assumptions!E53</f>
        <v>30</v>
      </c>
      <c r="F92" s="55"/>
      <c r="G92" s="55" t="s">
        <v>153</v>
      </c>
      <c r="H92" s="55"/>
      <c r="I92" s="55"/>
      <c r="J92" s="63"/>
    </row>
    <row r="93" spans="1:10" ht="15">
      <c r="A93" s="55"/>
      <c r="B93" s="55"/>
      <c r="C93" s="55"/>
      <c r="D93" s="64" t="s">
        <v>81</v>
      </c>
      <c r="E93" s="47">
        <f>Assumptions!F4</f>
        <v>30</v>
      </c>
      <c r="F93" s="47"/>
      <c r="G93" s="47" t="s">
        <v>139</v>
      </c>
      <c r="H93" s="55"/>
      <c r="I93" s="55"/>
      <c r="J93" s="65"/>
    </row>
    <row r="94" spans="1:10" ht="15">
      <c r="A94" s="55"/>
      <c r="B94" s="55"/>
      <c r="C94" s="55"/>
      <c r="D94" s="64" t="s">
        <v>84</v>
      </c>
      <c r="E94" s="74">
        <f>ROUND(E92/E93,2)</f>
        <v>1</v>
      </c>
      <c r="F94" s="55"/>
      <c r="G94" s="55" t="s">
        <v>120</v>
      </c>
      <c r="H94" s="55"/>
      <c r="I94" s="55"/>
      <c r="J94" s="65"/>
    </row>
    <row r="95" spans="1:9" ht="15">
      <c r="A95" s="55"/>
      <c r="B95" s="55"/>
      <c r="C95" s="55"/>
      <c r="D95" s="64"/>
      <c r="E95" s="55"/>
      <c r="F95" s="55"/>
      <c r="G95" s="55"/>
      <c r="H95" s="55"/>
      <c r="I95" s="55"/>
    </row>
    <row r="96" spans="1:10" ht="15.75">
      <c r="A96" s="55"/>
      <c r="B96" s="55" t="s">
        <v>101</v>
      </c>
      <c r="C96" s="55"/>
      <c r="D96" s="64" t="s">
        <v>84</v>
      </c>
      <c r="E96" s="68">
        <f>ROUND(E84+E90+E94,2)</f>
        <v>8.06</v>
      </c>
      <c r="F96" s="55"/>
      <c r="G96" s="41" t="s">
        <v>120</v>
      </c>
      <c r="H96" s="55"/>
      <c r="I96" s="55"/>
      <c r="J96" s="63"/>
    </row>
    <row r="97" spans="1:9" ht="15">
      <c r="A97" s="55"/>
      <c r="B97" s="55"/>
      <c r="C97" s="55"/>
      <c r="D97" s="55"/>
      <c r="E97" s="55"/>
      <c r="F97" s="55"/>
      <c r="G97" s="55"/>
      <c r="H97" s="55"/>
      <c r="I97" s="55"/>
    </row>
    <row r="98" spans="1:9" ht="15.75">
      <c r="A98" s="55"/>
      <c r="B98" s="41" t="s">
        <v>102</v>
      </c>
      <c r="C98" s="55"/>
      <c r="D98" s="55"/>
      <c r="E98" s="55"/>
      <c r="F98" s="55"/>
      <c r="G98" s="55"/>
      <c r="H98" s="55"/>
      <c r="I98" s="55"/>
    </row>
    <row r="99" spans="1:10" ht="15">
      <c r="A99" s="55"/>
      <c r="B99" s="55"/>
      <c r="C99" s="55"/>
      <c r="D99" s="55"/>
      <c r="E99" s="75">
        <f>Assumptions!F5</f>
        <v>1200</v>
      </c>
      <c r="F99" s="55"/>
      <c r="G99" s="55" t="s">
        <v>103</v>
      </c>
      <c r="H99" s="55"/>
      <c r="I99" s="55"/>
      <c r="J99" s="63"/>
    </row>
    <row r="100" spans="1:10" ht="15">
      <c r="A100" s="55"/>
      <c r="B100" s="55"/>
      <c r="C100" s="55"/>
      <c r="D100" s="64" t="s">
        <v>104</v>
      </c>
      <c r="E100" s="79">
        <f>Assumptions!F10</f>
        <v>955</v>
      </c>
      <c r="F100" s="47"/>
      <c r="G100" s="47" t="s">
        <v>214</v>
      </c>
      <c r="H100" s="55"/>
      <c r="I100" s="55"/>
      <c r="J100" s="65"/>
    </row>
    <row r="101" spans="1:10" ht="15">
      <c r="A101" s="55"/>
      <c r="B101" s="55"/>
      <c r="C101" s="55"/>
      <c r="D101" s="64" t="s">
        <v>84</v>
      </c>
      <c r="E101" s="75">
        <f>E99-E100</f>
        <v>245</v>
      </c>
      <c r="F101" s="55"/>
      <c r="G101" s="55" t="s">
        <v>154</v>
      </c>
      <c r="H101" s="55"/>
      <c r="I101" s="55"/>
      <c r="J101" s="65"/>
    </row>
    <row r="102" spans="1:10" ht="15">
      <c r="A102" s="55"/>
      <c r="B102" s="55"/>
      <c r="C102" s="55"/>
      <c r="D102" s="64" t="s">
        <v>79</v>
      </c>
      <c r="E102" s="76">
        <f>Assumptions!F14</f>
        <v>10</v>
      </c>
      <c r="F102" s="47"/>
      <c r="G102" s="47" t="s">
        <v>105</v>
      </c>
      <c r="H102" s="55"/>
      <c r="I102" s="55"/>
      <c r="J102" s="65"/>
    </row>
    <row r="103" spans="1:10" ht="15.75">
      <c r="A103" s="55"/>
      <c r="B103" s="55"/>
      <c r="C103" s="55"/>
      <c r="D103" s="67" t="s">
        <v>84</v>
      </c>
      <c r="E103" s="68">
        <f>ROUND(E101*E102/100,2)</f>
        <v>24.5</v>
      </c>
      <c r="F103" s="41"/>
      <c r="G103" s="41" t="s">
        <v>120</v>
      </c>
      <c r="H103" s="55"/>
      <c r="I103" s="55"/>
      <c r="J103" s="65"/>
    </row>
    <row r="104" spans="1:9" ht="15">
      <c r="A104" s="55"/>
      <c r="B104" s="55"/>
      <c r="C104" s="55"/>
      <c r="D104" s="55"/>
      <c r="E104" s="55"/>
      <c r="F104" s="55"/>
      <c r="G104" s="55"/>
      <c r="H104" s="55"/>
      <c r="I104" s="55"/>
    </row>
    <row r="105" spans="1:9" ht="15.75">
      <c r="A105" s="55"/>
      <c r="B105" s="41" t="s">
        <v>106</v>
      </c>
      <c r="C105" s="55"/>
      <c r="D105" s="55"/>
      <c r="E105" s="55"/>
      <c r="F105" s="55"/>
      <c r="G105" s="55"/>
      <c r="H105" s="55"/>
      <c r="I105" s="55"/>
    </row>
    <row r="106" spans="1:10" ht="15">
      <c r="A106" s="55"/>
      <c r="B106" s="55"/>
      <c r="C106" s="55"/>
      <c r="D106" s="55"/>
      <c r="E106" s="75">
        <f>Assumptions!E42*Assumptions!F15</f>
        <v>300</v>
      </c>
      <c r="F106" s="55"/>
      <c r="G106" s="55" t="s">
        <v>155</v>
      </c>
      <c r="H106" s="55"/>
      <c r="I106" s="55"/>
      <c r="J106" s="63"/>
    </row>
    <row r="107" spans="1:10" ht="15">
      <c r="A107" s="55"/>
      <c r="B107" s="55"/>
      <c r="C107" s="55"/>
      <c r="D107" s="64" t="s">
        <v>81</v>
      </c>
      <c r="E107" s="47">
        <f>Assumptions!F4</f>
        <v>30</v>
      </c>
      <c r="F107" s="55"/>
      <c r="G107" s="47" t="s">
        <v>139</v>
      </c>
      <c r="H107" s="55"/>
      <c r="I107" s="55"/>
      <c r="J107" s="65"/>
    </row>
    <row r="108" spans="1:10" ht="15.75">
      <c r="A108" s="55"/>
      <c r="B108" s="55"/>
      <c r="C108" s="55"/>
      <c r="D108" s="67" t="s">
        <v>84</v>
      </c>
      <c r="E108" s="68">
        <f>ROUND(E106/E107,2)</f>
        <v>10</v>
      </c>
      <c r="F108" s="55"/>
      <c r="G108" s="41" t="s">
        <v>120</v>
      </c>
      <c r="H108" s="55"/>
      <c r="I108" s="55"/>
      <c r="J108" s="65"/>
    </row>
    <row r="109" spans="1:9" ht="15">
      <c r="A109" s="55"/>
      <c r="B109" s="55"/>
      <c r="C109" s="55"/>
      <c r="D109" s="55"/>
      <c r="E109" s="55"/>
      <c r="F109" s="55"/>
      <c r="G109" s="55"/>
      <c r="H109" s="55"/>
      <c r="I109" s="55"/>
    </row>
    <row r="110" spans="1:9" ht="15.75">
      <c r="A110" s="55"/>
      <c r="B110" s="41" t="s">
        <v>107</v>
      </c>
      <c r="C110" s="55"/>
      <c r="D110" s="55"/>
      <c r="E110" s="55"/>
      <c r="F110" s="55"/>
      <c r="G110" s="55"/>
      <c r="H110" s="55"/>
      <c r="I110" s="55"/>
    </row>
    <row r="111" spans="1:10" ht="15">
      <c r="A111" s="55"/>
      <c r="B111" s="55"/>
      <c r="C111" s="55"/>
      <c r="D111" s="55"/>
      <c r="E111" s="74">
        <f>Assumptions!E57</f>
        <v>0</v>
      </c>
      <c r="F111" s="55"/>
      <c r="G111" s="55" t="s">
        <v>207</v>
      </c>
      <c r="H111" s="55"/>
      <c r="I111" s="55"/>
      <c r="J111" s="63"/>
    </row>
    <row r="112" spans="1:10" ht="15">
      <c r="A112" s="55"/>
      <c r="B112" s="55"/>
      <c r="C112" s="55"/>
      <c r="D112" s="64" t="s">
        <v>90</v>
      </c>
      <c r="E112" s="74">
        <f>Assumptions!E56</f>
        <v>100</v>
      </c>
      <c r="F112" s="55"/>
      <c r="G112" s="55" t="s">
        <v>156</v>
      </c>
      <c r="H112" s="55"/>
      <c r="I112" s="55"/>
      <c r="J112" s="65"/>
    </row>
    <row r="113" spans="1:10" ht="15">
      <c r="A113" s="55"/>
      <c r="B113" s="55"/>
      <c r="C113" s="55"/>
      <c r="D113" s="64" t="s">
        <v>81</v>
      </c>
      <c r="E113" s="47">
        <f>Assumptions!F4</f>
        <v>30</v>
      </c>
      <c r="F113" s="47"/>
      <c r="G113" s="47" t="s">
        <v>139</v>
      </c>
      <c r="H113" s="55"/>
      <c r="I113" s="55"/>
      <c r="J113" s="65"/>
    </row>
    <row r="114" spans="1:10" ht="15.75">
      <c r="A114" s="55"/>
      <c r="B114" s="55"/>
      <c r="C114" s="55"/>
      <c r="D114" s="64" t="s">
        <v>84</v>
      </c>
      <c r="E114" s="68">
        <f>ROUND((SUM(E111:E112)/E113),2)</f>
        <v>3.33</v>
      </c>
      <c r="F114" s="55"/>
      <c r="G114" s="41" t="s">
        <v>120</v>
      </c>
      <c r="H114" s="55"/>
      <c r="I114" s="55"/>
      <c r="J114" s="65"/>
    </row>
    <row r="115" spans="1:9" ht="15">
      <c r="A115" s="55"/>
      <c r="B115" s="55"/>
      <c r="C115" s="55"/>
      <c r="D115" s="55"/>
      <c r="E115" s="55"/>
      <c r="F115" s="55"/>
      <c r="G115" s="55"/>
      <c r="H115" s="55"/>
      <c r="I115" s="55"/>
    </row>
    <row r="116" spans="1:9" ht="15.75">
      <c r="A116" s="55"/>
      <c r="B116" s="41" t="s">
        <v>108</v>
      </c>
      <c r="C116" s="55"/>
      <c r="D116" s="55"/>
      <c r="E116" s="55"/>
      <c r="F116" s="55"/>
      <c r="G116" s="55"/>
      <c r="H116" s="55"/>
      <c r="I116" s="55"/>
    </row>
    <row r="117" spans="1:10" ht="15">
      <c r="A117" s="55"/>
      <c r="B117" s="55"/>
      <c r="C117" s="55"/>
      <c r="D117" s="55"/>
      <c r="E117" s="74">
        <f>Summary!F21</f>
        <v>308.1533333333333</v>
      </c>
      <c r="F117" s="55"/>
      <c r="G117" s="55" t="s">
        <v>157</v>
      </c>
      <c r="H117" s="55"/>
      <c r="I117" s="55"/>
      <c r="J117" s="63"/>
    </row>
    <row r="118" spans="1:10" ht="15">
      <c r="A118" s="55"/>
      <c r="B118" s="55"/>
      <c r="C118" s="55"/>
      <c r="D118" s="64" t="s">
        <v>81</v>
      </c>
      <c r="E118" s="55">
        <v>2</v>
      </c>
      <c r="F118" s="55"/>
      <c r="G118" s="55" t="s">
        <v>118</v>
      </c>
      <c r="H118" s="55"/>
      <c r="I118" s="55"/>
      <c r="J118" s="65"/>
    </row>
    <row r="119" spans="1:10" ht="15">
      <c r="A119" s="55"/>
      <c r="B119" s="55"/>
      <c r="C119" s="55"/>
      <c r="D119" s="64" t="s">
        <v>79</v>
      </c>
      <c r="E119" s="76">
        <f>Assumptions!E61</f>
        <v>6.5</v>
      </c>
      <c r="F119" s="47"/>
      <c r="G119" s="47" t="s">
        <v>109</v>
      </c>
      <c r="H119" s="55"/>
      <c r="I119" s="55"/>
      <c r="J119" s="65"/>
    </row>
    <row r="120" spans="1:10" ht="15.75">
      <c r="A120" s="55"/>
      <c r="B120" s="55"/>
      <c r="C120" s="55"/>
      <c r="D120" s="64" t="s">
        <v>84</v>
      </c>
      <c r="E120" s="68">
        <f>ROUND((E117/E118)*(E119/100),2)</f>
        <v>10.01</v>
      </c>
      <c r="F120" s="55"/>
      <c r="G120" s="41" t="s">
        <v>120</v>
      </c>
      <c r="H120" s="55"/>
      <c r="I120" s="55"/>
      <c r="J120" s="65"/>
    </row>
    <row r="121" spans="1:9" ht="15">
      <c r="A121" s="55"/>
      <c r="B121" s="55"/>
      <c r="C121" s="55"/>
      <c r="D121" s="55"/>
      <c r="E121" s="55"/>
      <c r="F121" s="55"/>
      <c r="G121" s="55"/>
      <c r="H121" s="55"/>
      <c r="I121" s="55"/>
    </row>
    <row r="122" spans="1:10" ht="18">
      <c r="A122" s="55"/>
      <c r="B122" s="114" t="s">
        <v>128</v>
      </c>
      <c r="C122" s="114"/>
      <c r="D122" s="114"/>
      <c r="E122" s="114"/>
      <c r="F122" s="114"/>
      <c r="G122" s="114"/>
      <c r="H122" s="114"/>
      <c r="I122" s="114"/>
      <c r="J122" s="114"/>
    </row>
    <row r="123" spans="1:10" ht="15.75">
      <c r="A123" s="55"/>
      <c r="B123" s="55"/>
      <c r="C123" s="55"/>
      <c r="D123" s="55"/>
      <c r="E123" s="55"/>
      <c r="F123" s="55"/>
      <c r="G123" s="55"/>
      <c r="H123" s="55"/>
      <c r="I123" s="55"/>
      <c r="J123" s="50"/>
    </row>
    <row r="124" spans="1:9" ht="15.75">
      <c r="A124" s="55"/>
      <c r="B124" s="44" t="s">
        <v>2</v>
      </c>
      <c r="F124" s="55"/>
      <c r="G124" s="55"/>
      <c r="H124" s="55"/>
      <c r="I124" s="55"/>
    </row>
    <row r="125" spans="1:9" ht="15">
      <c r="A125" s="55"/>
      <c r="B125" s="32" t="str">
        <f>Assumptions!A70</f>
        <v>        Building </v>
      </c>
      <c r="F125" s="55"/>
      <c r="G125" s="55"/>
      <c r="H125" s="80">
        <f>Assumptions!D70</f>
        <v>10000</v>
      </c>
      <c r="I125" s="55"/>
    </row>
    <row r="126" spans="1:10" ht="15">
      <c r="A126" s="55"/>
      <c r="B126" s="32" t="str">
        <f>Assumptions!A71</f>
        <v>        Handling Facilities</v>
      </c>
      <c r="F126" s="55"/>
      <c r="G126" s="55"/>
      <c r="H126" s="80">
        <f>Assumptions!D71</f>
        <v>12000</v>
      </c>
      <c r="I126" s="55"/>
      <c r="J126" s="63"/>
    </row>
    <row r="127" spans="1:10" ht="15">
      <c r="A127" s="55"/>
      <c r="B127" s="32" t="str">
        <f>Assumptions!A72</f>
        <v>        Waterers </v>
      </c>
      <c r="F127" s="55"/>
      <c r="G127" s="55"/>
      <c r="H127" s="80">
        <f>Assumptions!D72</f>
        <v>2000</v>
      </c>
      <c r="I127" s="55"/>
      <c r="J127" s="63"/>
    </row>
    <row r="128" spans="1:10" ht="15">
      <c r="A128" s="55"/>
      <c r="B128" s="32" t="str">
        <f>Assumptions!A73</f>
        <v>        Round Bale Feeders</v>
      </c>
      <c r="F128" s="55"/>
      <c r="G128" s="55"/>
      <c r="H128" s="80">
        <f>Assumptions!D73</f>
        <v>0</v>
      </c>
      <c r="I128" s="55"/>
      <c r="J128" s="63"/>
    </row>
    <row r="129" spans="1:10" ht="15">
      <c r="A129" s="55"/>
      <c r="B129" s="32" t="str">
        <f>Assumptions!A74</f>
        <v>        Well &amp; Pressure System</v>
      </c>
      <c r="F129" s="55"/>
      <c r="G129" s="55"/>
      <c r="H129" s="80">
        <f>Assumptions!D74</f>
        <v>3500</v>
      </c>
      <c r="I129" s="55"/>
      <c r="J129" s="63"/>
    </row>
    <row r="130" spans="1:10" ht="15">
      <c r="A130" s="55"/>
      <c r="B130" s="32" t="str">
        <f>Assumptions!A75</f>
        <v>        Hydro (1 pole @ $400)</v>
      </c>
      <c r="F130" s="55"/>
      <c r="G130" s="55"/>
      <c r="H130" s="81">
        <f>Assumptions!D75</f>
        <v>400</v>
      </c>
      <c r="I130" s="55"/>
      <c r="J130" s="63"/>
    </row>
    <row r="131" spans="1:10" ht="15.75">
      <c r="A131" s="55"/>
      <c r="B131" s="44" t="s">
        <v>196</v>
      </c>
      <c r="F131" s="55"/>
      <c r="G131" s="55"/>
      <c r="H131" s="54">
        <f>SUM(H125:H130)</f>
        <v>27900</v>
      </c>
      <c r="I131" s="55"/>
      <c r="J131" s="63"/>
    </row>
    <row r="132" spans="1:9" ht="15.75">
      <c r="A132" s="55"/>
      <c r="B132" s="44" t="s">
        <v>5</v>
      </c>
      <c r="F132" s="55"/>
      <c r="G132" s="55"/>
      <c r="H132" s="55"/>
      <c r="I132" s="55"/>
    </row>
    <row r="133" spans="1:10" ht="15">
      <c r="A133" s="55"/>
      <c r="B133" s="32" t="str">
        <f>Assumptions!A79</f>
        <v>        Tractor &amp; Loader</v>
      </c>
      <c r="F133" s="55"/>
      <c r="G133" s="55"/>
      <c r="H133" s="82">
        <f>Assumptions!D79</f>
        <v>2000</v>
      </c>
      <c r="I133" s="55"/>
      <c r="J133" s="63"/>
    </row>
    <row r="134" spans="1:10" ht="15">
      <c r="A134" s="55"/>
      <c r="B134" s="32" t="str">
        <f>Assumptions!A80</f>
        <v>        Quad</v>
      </c>
      <c r="F134" s="55"/>
      <c r="G134" s="55"/>
      <c r="H134" s="82">
        <f>Assumptions!D80</f>
        <v>4000</v>
      </c>
      <c r="I134" s="55"/>
      <c r="J134" s="63"/>
    </row>
    <row r="135" spans="1:10" ht="15">
      <c r="A135" s="55"/>
      <c r="B135" s="32" t="str">
        <f>Assumptions!A81</f>
        <v>        Miscellaneous Machinery</v>
      </c>
      <c r="F135" s="55"/>
      <c r="G135" s="55"/>
      <c r="H135" s="82">
        <f>Assumptions!D81</f>
        <v>400</v>
      </c>
      <c r="I135" s="55"/>
      <c r="J135" s="63"/>
    </row>
    <row r="136" spans="1:10" ht="15">
      <c r="A136" s="55"/>
      <c r="B136" s="32" t="str">
        <f>Assumptions!A82</f>
        <v>        Freezer</v>
      </c>
      <c r="F136" s="55"/>
      <c r="G136" s="55"/>
      <c r="H136" s="81">
        <f>Assumptions!D82</f>
        <v>1000</v>
      </c>
      <c r="I136" s="55"/>
      <c r="J136" s="63"/>
    </row>
    <row r="137" spans="1:10" ht="15.75">
      <c r="A137" s="55"/>
      <c r="B137" s="44" t="s">
        <v>195</v>
      </c>
      <c r="F137" s="55"/>
      <c r="G137" s="55"/>
      <c r="H137" s="54">
        <f>SUM(H133:H136)</f>
        <v>7400</v>
      </c>
      <c r="I137" s="55"/>
      <c r="J137" s="63"/>
    </row>
    <row r="138" spans="1:9" ht="15.75">
      <c r="A138" s="55"/>
      <c r="B138" s="44" t="s">
        <v>9</v>
      </c>
      <c r="F138" s="55"/>
      <c r="G138" s="55"/>
      <c r="H138" s="55"/>
      <c r="I138" s="55"/>
    </row>
    <row r="139" spans="1:10" ht="15">
      <c r="A139" s="55"/>
      <c r="B139" s="32" t="str">
        <f>Assumptions!A86</f>
        <v>        Fence (2 miles @ $12000) </v>
      </c>
      <c r="F139" s="55"/>
      <c r="G139" s="55"/>
      <c r="H139" s="82">
        <f>Assumptions!D86</f>
        <v>24000</v>
      </c>
      <c r="I139" s="55"/>
      <c r="J139" s="63"/>
    </row>
    <row r="140" spans="1:10" ht="15">
      <c r="A140" s="55"/>
      <c r="B140" s="32" t="str">
        <f>Assumptions!A87</f>
        <v>        Pasture (60ac @ $300)</v>
      </c>
      <c r="F140" s="55"/>
      <c r="G140" s="55"/>
      <c r="H140" s="81">
        <f>Assumptions!D87</f>
        <v>18000</v>
      </c>
      <c r="I140" s="55"/>
      <c r="J140" s="63"/>
    </row>
    <row r="141" spans="1:10" ht="15.75">
      <c r="A141" s="55"/>
      <c r="B141" s="44" t="s">
        <v>197</v>
      </c>
      <c r="F141" s="55"/>
      <c r="G141" s="55"/>
      <c r="H141" s="26">
        <f>SUM(H139:H140)</f>
        <v>42000</v>
      </c>
      <c r="I141" s="55"/>
      <c r="J141" s="63"/>
    </row>
    <row r="142" spans="1:9" ht="15">
      <c r="A142" s="55"/>
      <c r="F142" s="55"/>
      <c r="G142" s="55"/>
      <c r="I142" s="55"/>
    </row>
    <row r="143" spans="1:10" ht="15.75">
      <c r="A143" s="55"/>
      <c r="B143" s="44" t="str">
        <f>"Value of Bulls ("&amp;Assumptions!F4&amp;" @$"&amp;Assumptions!F5&amp;")"</f>
        <v>Value of Bulls (30 @$1200)</v>
      </c>
      <c r="F143" s="55"/>
      <c r="G143" s="55"/>
      <c r="H143" s="26">
        <f>Assumptions!F4*Assumptions!F5</f>
        <v>36000</v>
      </c>
      <c r="I143" s="55"/>
      <c r="J143" s="63"/>
    </row>
    <row r="144" spans="1:10" ht="15.75">
      <c r="A144" s="55"/>
      <c r="B144" s="44" t="s">
        <v>10</v>
      </c>
      <c r="F144" s="55"/>
      <c r="G144" s="55"/>
      <c r="H144" s="26">
        <f>H131+H137+H141+H143</f>
        <v>113300</v>
      </c>
      <c r="I144" s="55"/>
      <c r="J144" s="63"/>
    </row>
    <row r="145" spans="1:9" ht="15">
      <c r="A145" s="55"/>
      <c r="B145" s="55"/>
      <c r="C145" s="55"/>
      <c r="D145" s="55"/>
      <c r="E145" s="55"/>
      <c r="F145" s="55"/>
      <c r="G145" s="55"/>
      <c r="H145" s="55"/>
      <c r="I145" s="55"/>
    </row>
    <row r="146" spans="1:9" ht="15.75">
      <c r="A146" s="55"/>
      <c r="B146" s="41" t="s">
        <v>64</v>
      </c>
      <c r="C146" s="55"/>
      <c r="D146" s="55"/>
      <c r="E146" s="55"/>
      <c r="F146" s="55"/>
      <c r="G146" s="55"/>
      <c r="H146" s="55"/>
      <c r="I146" s="55"/>
    </row>
    <row r="147" spans="1:9" ht="15">
      <c r="A147" s="55"/>
      <c r="B147" s="55"/>
      <c r="C147" s="55"/>
      <c r="D147" s="55"/>
      <c r="E147" s="55"/>
      <c r="F147" s="55"/>
      <c r="G147" s="55"/>
      <c r="H147" s="55"/>
      <c r="I147" s="55"/>
    </row>
    <row r="148" spans="1:9" ht="15.75">
      <c r="A148" s="55"/>
      <c r="B148" s="41" t="s">
        <v>110</v>
      </c>
      <c r="C148" s="55"/>
      <c r="D148" s="55"/>
      <c r="E148" s="55"/>
      <c r="F148" s="55"/>
      <c r="G148" s="55"/>
      <c r="H148" s="55"/>
      <c r="I148" s="55"/>
    </row>
    <row r="149" spans="1:9" ht="15">
      <c r="A149" s="55"/>
      <c r="B149" s="55"/>
      <c r="C149" s="55"/>
      <c r="D149" s="55"/>
      <c r="E149" s="104" t="s">
        <v>135</v>
      </c>
      <c r="F149" s="104"/>
      <c r="G149" s="104"/>
      <c r="H149" s="104"/>
      <c r="I149" s="55"/>
    </row>
    <row r="150" spans="1:9" ht="15">
      <c r="A150" s="55"/>
      <c r="B150" s="55"/>
      <c r="C150" s="55"/>
      <c r="D150" s="55"/>
      <c r="E150" s="105" t="s">
        <v>136</v>
      </c>
      <c r="F150" s="105"/>
      <c r="G150" s="105"/>
      <c r="H150" s="105"/>
      <c r="I150" s="55"/>
    </row>
    <row r="151" spans="1:9" ht="15">
      <c r="A151" s="55"/>
      <c r="B151" s="55"/>
      <c r="C151" s="55"/>
      <c r="D151" s="55"/>
      <c r="E151" s="55"/>
      <c r="F151" s="55"/>
      <c r="G151" s="55"/>
      <c r="H151" s="55"/>
      <c r="I151" s="55"/>
    </row>
    <row r="152" spans="1:9" ht="15.75">
      <c r="A152" s="55"/>
      <c r="B152" s="41" t="s">
        <v>111</v>
      </c>
      <c r="C152" s="55"/>
      <c r="D152" s="55"/>
      <c r="E152" s="55"/>
      <c r="F152" s="55"/>
      <c r="G152" s="55"/>
      <c r="H152" s="55"/>
      <c r="I152" s="55"/>
    </row>
    <row r="153" spans="1:10" ht="15">
      <c r="A153" s="55"/>
      <c r="B153" s="55"/>
      <c r="C153" s="55"/>
      <c r="D153" s="55"/>
      <c r="E153" s="75">
        <f>Assumptions!D76</f>
        <v>27900</v>
      </c>
      <c r="F153" s="55"/>
      <c r="G153" s="55" t="s">
        <v>141</v>
      </c>
      <c r="H153" s="55"/>
      <c r="I153" s="55"/>
      <c r="J153" s="63"/>
    </row>
    <row r="154" spans="1:10" ht="15">
      <c r="A154" s="55"/>
      <c r="B154" s="55"/>
      <c r="C154" s="55"/>
      <c r="D154" s="64" t="s">
        <v>104</v>
      </c>
      <c r="E154" s="75">
        <f>Assumptions!D76*(Assumptions!E76/100)</f>
        <v>2790</v>
      </c>
      <c r="F154" s="55"/>
      <c r="G154" s="55" t="s">
        <v>138</v>
      </c>
      <c r="H154" s="55"/>
      <c r="I154" s="55"/>
      <c r="J154" s="65"/>
    </row>
    <row r="155" spans="1:10" ht="15">
      <c r="A155" s="55"/>
      <c r="B155" s="55"/>
      <c r="C155" s="55"/>
      <c r="D155" s="64" t="s">
        <v>81</v>
      </c>
      <c r="E155" s="55">
        <f>Assumptions!F76</f>
        <v>20</v>
      </c>
      <c r="F155" s="55"/>
      <c r="G155" s="55" t="s">
        <v>112</v>
      </c>
      <c r="H155" s="55"/>
      <c r="I155" s="55"/>
      <c r="J155" s="65"/>
    </row>
    <row r="156" spans="1:10" ht="15">
      <c r="A156" s="55"/>
      <c r="B156" s="55"/>
      <c r="C156" s="55"/>
      <c r="D156" s="64" t="s">
        <v>81</v>
      </c>
      <c r="E156" s="47">
        <f>Assumptions!$F$4</f>
        <v>30</v>
      </c>
      <c r="F156" s="47"/>
      <c r="G156" s="47" t="s">
        <v>139</v>
      </c>
      <c r="H156" s="55"/>
      <c r="I156" s="55"/>
      <c r="J156" s="63"/>
    </row>
    <row r="157" spans="1:10" ht="15.75">
      <c r="A157" s="55"/>
      <c r="B157" s="55"/>
      <c r="C157" s="55"/>
      <c r="D157" s="64" t="s">
        <v>84</v>
      </c>
      <c r="E157" s="68">
        <f>ROUND(((E153-E154)/E155)/E156,2)</f>
        <v>41.85</v>
      </c>
      <c r="F157" s="55"/>
      <c r="G157" s="41" t="s">
        <v>120</v>
      </c>
      <c r="H157" s="55"/>
      <c r="I157" s="55"/>
      <c r="J157" s="65"/>
    </row>
    <row r="158" spans="1:9" ht="15">
      <c r="A158" s="55"/>
      <c r="B158" s="55"/>
      <c r="C158" s="55"/>
      <c r="D158" s="55"/>
      <c r="E158" s="55"/>
      <c r="F158" s="55"/>
      <c r="G158" s="55"/>
      <c r="H158" s="55"/>
      <c r="I158" s="55"/>
    </row>
    <row r="159" spans="1:9" ht="15.75">
      <c r="A159" s="55"/>
      <c r="B159" s="41" t="s">
        <v>113</v>
      </c>
      <c r="C159" s="55"/>
      <c r="D159" s="55"/>
      <c r="E159" s="55"/>
      <c r="F159" s="55"/>
      <c r="G159" s="55"/>
      <c r="H159" s="55"/>
      <c r="I159" s="55"/>
    </row>
    <row r="160" spans="1:10" ht="15">
      <c r="A160" s="55"/>
      <c r="B160" s="55" t="s">
        <v>174</v>
      </c>
      <c r="C160" s="55"/>
      <c r="D160" s="55"/>
      <c r="E160" s="75">
        <f>Assumptions!D79+Assumptions!D80</f>
        <v>6000</v>
      </c>
      <c r="F160" s="55"/>
      <c r="G160" s="55" t="s">
        <v>141</v>
      </c>
      <c r="H160" s="55"/>
      <c r="I160" s="55"/>
      <c r="J160" s="63"/>
    </row>
    <row r="161" spans="1:10" ht="15">
      <c r="A161" s="55"/>
      <c r="B161" s="55"/>
      <c r="C161" s="55"/>
      <c r="D161" s="64" t="s">
        <v>104</v>
      </c>
      <c r="E161" s="83">
        <f>E160*Assumptions!E79/100</f>
        <v>1800</v>
      </c>
      <c r="F161" s="70"/>
      <c r="G161" s="70" t="s">
        <v>138</v>
      </c>
      <c r="H161" s="55"/>
      <c r="I161" s="55"/>
      <c r="J161" s="65"/>
    </row>
    <row r="162" spans="1:10" ht="15">
      <c r="A162" s="55"/>
      <c r="B162" s="55"/>
      <c r="C162" s="55"/>
      <c r="D162" s="64" t="s">
        <v>81</v>
      </c>
      <c r="E162" s="84">
        <f>Assumptions!F79</f>
        <v>10</v>
      </c>
      <c r="F162" s="55"/>
      <c r="G162" s="55" t="s">
        <v>112</v>
      </c>
      <c r="H162" s="55"/>
      <c r="I162" s="55"/>
      <c r="J162" s="65"/>
    </row>
    <row r="163" spans="1:10" ht="15">
      <c r="A163" s="55"/>
      <c r="B163" s="55"/>
      <c r="C163" s="55"/>
      <c r="D163" s="64" t="s">
        <v>81</v>
      </c>
      <c r="E163" s="85">
        <f>Assumptions!F4</f>
        <v>30</v>
      </c>
      <c r="F163" s="47"/>
      <c r="G163" s="47" t="s">
        <v>139</v>
      </c>
      <c r="H163" s="55"/>
      <c r="I163" s="55"/>
      <c r="J163" s="65"/>
    </row>
    <row r="164" spans="1:10" ht="15">
      <c r="A164" s="55"/>
      <c r="B164" s="55"/>
      <c r="C164" s="55"/>
      <c r="D164" s="64" t="s">
        <v>84</v>
      </c>
      <c r="E164" s="74">
        <f>ROUND(((E160-E161)/E162)/E163,2)</f>
        <v>14</v>
      </c>
      <c r="F164" s="55"/>
      <c r="G164" s="55" t="s">
        <v>120</v>
      </c>
      <c r="H164" s="55"/>
      <c r="I164" s="55"/>
      <c r="J164" s="65"/>
    </row>
    <row r="165" spans="1:9" ht="15">
      <c r="A165" s="55"/>
      <c r="C165" s="55"/>
      <c r="D165" s="55"/>
      <c r="E165" s="55"/>
      <c r="F165" s="55"/>
      <c r="G165" s="55"/>
      <c r="H165" s="55"/>
      <c r="I165" s="55"/>
    </row>
    <row r="166" spans="1:10" ht="15">
      <c r="A166" s="55"/>
      <c r="B166" s="55" t="s">
        <v>166</v>
      </c>
      <c r="C166" s="55"/>
      <c r="D166" s="55"/>
      <c r="E166" s="75">
        <f>Assumptions!D81</f>
        <v>400</v>
      </c>
      <c r="F166" s="55"/>
      <c r="G166" s="55" t="s">
        <v>141</v>
      </c>
      <c r="H166" s="55"/>
      <c r="I166" s="55"/>
      <c r="J166" s="63"/>
    </row>
    <row r="167" spans="1:10" ht="15">
      <c r="A167" s="55"/>
      <c r="B167" s="55"/>
      <c r="C167" s="55"/>
      <c r="D167" s="64" t="s">
        <v>104</v>
      </c>
      <c r="E167" s="83">
        <f>Assumptions!D81*(Assumptions!E81/100)</f>
        <v>80</v>
      </c>
      <c r="F167" s="70"/>
      <c r="G167" s="70" t="s">
        <v>138</v>
      </c>
      <c r="H167" s="55"/>
      <c r="I167" s="55"/>
      <c r="J167" s="65"/>
    </row>
    <row r="168" spans="1:10" ht="15">
      <c r="A168" s="55"/>
      <c r="B168" s="55"/>
      <c r="C168" s="55"/>
      <c r="D168" s="64" t="s">
        <v>81</v>
      </c>
      <c r="E168" s="84">
        <f>Assumptions!F81</f>
        <v>12</v>
      </c>
      <c r="F168" s="55"/>
      <c r="G168" s="55" t="s">
        <v>112</v>
      </c>
      <c r="H168" s="55"/>
      <c r="I168" s="55"/>
      <c r="J168" s="65"/>
    </row>
    <row r="169" spans="1:10" ht="15">
      <c r="A169" s="55"/>
      <c r="B169" s="55"/>
      <c r="C169" s="55"/>
      <c r="D169" s="64" t="s">
        <v>81</v>
      </c>
      <c r="E169" s="47">
        <f>Assumptions!$F$4</f>
        <v>30</v>
      </c>
      <c r="F169" s="47"/>
      <c r="G169" s="47" t="s">
        <v>139</v>
      </c>
      <c r="H169" s="55"/>
      <c r="I169" s="55"/>
      <c r="J169" s="65"/>
    </row>
    <row r="170" spans="1:10" ht="15">
      <c r="A170" s="55"/>
      <c r="B170" s="55"/>
      <c r="C170" s="55"/>
      <c r="D170" s="64" t="s">
        <v>84</v>
      </c>
      <c r="E170" s="74">
        <f>ROUND(((E166-E167)/E168)/E169,2)</f>
        <v>0.89</v>
      </c>
      <c r="F170" s="55"/>
      <c r="G170" s="55" t="s">
        <v>120</v>
      </c>
      <c r="H170" s="55"/>
      <c r="I170" s="55"/>
      <c r="J170" s="65"/>
    </row>
    <row r="171" spans="1:9" ht="15">
      <c r="A171" s="55"/>
      <c r="B171" s="55"/>
      <c r="C171" s="55"/>
      <c r="D171" s="55"/>
      <c r="E171" s="55"/>
      <c r="F171" s="55"/>
      <c r="G171" s="55"/>
      <c r="H171" s="55"/>
      <c r="I171" s="55"/>
    </row>
    <row r="172" spans="1:10" ht="15">
      <c r="A172" s="55"/>
      <c r="B172" s="55" t="s">
        <v>167</v>
      </c>
      <c r="C172" s="55"/>
      <c r="D172" s="55"/>
      <c r="E172" s="75">
        <f>Assumptions!D82</f>
        <v>1000</v>
      </c>
      <c r="F172" s="55"/>
      <c r="G172" s="55" t="s">
        <v>141</v>
      </c>
      <c r="H172" s="55"/>
      <c r="I172" s="55"/>
      <c r="J172" s="63"/>
    </row>
    <row r="173" spans="1:10" ht="15">
      <c r="A173" s="55"/>
      <c r="B173" s="55"/>
      <c r="C173" s="55"/>
      <c r="D173" s="64" t="s">
        <v>104</v>
      </c>
      <c r="E173" s="86">
        <f>Assumptions!D82*(Assumptions!E82/100)</f>
        <v>300</v>
      </c>
      <c r="F173" s="60"/>
      <c r="G173" s="70" t="s">
        <v>138</v>
      </c>
      <c r="H173" s="55"/>
      <c r="I173" s="55"/>
      <c r="J173" s="65"/>
    </row>
    <row r="174" spans="1:10" ht="15">
      <c r="A174" s="55"/>
      <c r="B174" s="55"/>
      <c r="C174" s="55"/>
      <c r="D174" s="64" t="s">
        <v>81</v>
      </c>
      <c r="E174" s="55">
        <f>Assumptions!F82</f>
        <v>15</v>
      </c>
      <c r="F174" s="55"/>
      <c r="G174" s="55" t="s">
        <v>112</v>
      </c>
      <c r="H174" s="55"/>
      <c r="I174" s="55"/>
      <c r="J174" s="65"/>
    </row>
    <row r="175" spans="1:10" ht="15">
      <c r="A175" s="55"/>
      <c r="B175" s="55"/>
      <c r="C175" s="55"/>
      <c r="D175" s="64" t="s">
        <v>81</v>
      </c>
      <c r="E175" s="47">
        <f>Assumptions!$F$4</f>
        <v>30</v>
      </c>
      <c r="F175" s="55"/>
      <c r="G175" s="47" t="s">
        <v>139</v>
      </c>
      <c r="H175" s="55"/>
      <c r="I175" s="55"/>
      <c r="J175" s="65"/>
    </row>
    <row r="176" spans="1:10" ht="15">
      <c r="A176" s="55"/>
      <c r="B176" s="55"/>
      <c r="C176" s="55"/>
      <c r="D176" s="64" t="s">
        <v>84</v>
      </c>
      <c r="E176" s="74">
        <f>ROUND(((E172-E173)/E174)/E175,2)</f>
        <v>1.56</v>
      </c>
      <c r="F176" s="55"/>
      <c r="G176" s="55" t="s">
        <v>120</v>
      </c>
      <c r="H176" s="55"/>
      <c r="I176" s="55"/>
      <c r="J176" s="65"/>
    </row>
    <row r="177" spans="1:9" ht="15">
      <c r="A177" s="55"/>
      <c r="B177" s="55"/>
      <c r="C177" s="55"/>
      <c r="D177" s="55"/>
      <c r="E177" s="55"/>
      <c r="F177" s="55"/>
      <c r="G177" s="55"/>
      <c r="H177" s="55"/>
      <c r="I177" s="55"/>
    </row>
    <row r="178" spans="1:10" ht="15.75">
      <c r="A178" s="55"/>
      <c r="B178" s="55"/>
      <c r="C178" s="55" t="s">
        <v>94</v>
      </c>
      <c r="D178" s="55"/>
      <c r="E178" s="68">
        <f>ROUND(E164+E170+E176,2)</f>
        <v>16.45</v>
      </c>
      <c r="F178" s="55"/>
      <c r="G178" s="41" t="s">
        <v>120</v>
      </c>
      <c r="H178" s="55"/>
      <c r="I178" s="55"/>
      <c r="J178" s="63"/>
    </row>
    <row r="179" spans="1:9" ht="15">
      <c r="A179" s="55"/>
      <c r="B179" s="55"/>
      <c r="C179" s="55"/>
      <c r="D179" s="55"/>
      <c r="E179" s="55"/>
      <c r="F179" s="55"/>
      <c r="G179" s="55"/>
      <c r="H179" s="55"/>
      <c r="I179" s="55"/>
    </row>
    <row r="180" spans="1:9" ht="15.75">
      <c r="A180" s="55"/>
      <c r="B180" s="41" t="s">
        <v>114</v>
      </c>
      <c r="C180" s="55"/>
      <c r="D180" s="55"/>
      <c r="E180" s="55"/>
      <c r="F180" s="55"/>
      <c r="G180" s="55"/>
      <c r="H180" s="55"/>
      <c r="I180" s="55"/>
    </row>
    <row r="181" spans="1:10" ht="15">
      <c r="A181" s="55"/>
      <c r="B181" s="55"/>
      <c r="C181" s="55"/>
      <c r="D181" s="55"/>
      <c r="E181" s="75">
        <f>Assumptions!D86</f>
        <v>24000</v>
      </c>
      <c r="F181" s="55"/>
      <c r="G181" s="55" t="s">
        <v>141</v>
      </c>
      <c r="H181" s="55"/>
      <c r="I181" s="55"/>
      <c r="J181" s="63"/>
    </row>
    <row r="182" spans="1:10" ht="15">
      <c r="A182" s="55"/>
      <c r="B182" s="55"/>
      <c r="C182" s="55"/>
      <c r="D182" s="64" t="s">
        <v>104</v>
      </c>
      <c r="E182" s="75">
        <f>Assumptions!$D$86*(Assumptions!$E$86/100)</f>
        <v>2400</v>
      </c>
      <c r="F182" s="55"/>
      <c r="G182" s="55" t="s">
        <v>138</v>
      </c>
      <c r="H182" s="55"/>
      <c r="I182" s="55"/>
      <c r="J182" s="65"/>
    </row>
    <row r="183" spans="1:10" ht="15">
      <c r="A183" s="55"/>
      <c r="B183" s="55"/>
      <c r="C183" s="55"/>
      <c r="D183" s="64" t="s">
        <v>81</v>
      </c>
      <c r="E183" s="55">
        <f>Assumptions!F86</f>
        <v>20</v>
      </c>
      <c r="F183" s="55"/>
      <c r="G183" s="55" t="s">
        <v>112</v>
      </c>
      <c r="H183" s="55"/>
      <c r="I183" s="55"/>
      <c r="J183" s="65"/>
    </row>
    <row r="184" spans="1:10" ht="15">
      <c r="A184" s="55"/>
      <c r="B184" s="55"/>
      <c r="C184" s="55"/>
      <c r="D184" s="64" t="s">
        <v>81</v>
      </c>
      <c r="E184" s="47">
        <f>Assumptions!$F$4</f>
        <v>30</v>
      </c>
      <c r="F184" s="47"/>
      <c r="G184" s="47" t="s">
        <v>139</v>
      </c>
      <c r="H184" s="55"/>
      <c r="I184" s="55"/>
      <c r="J184" s="65"/>
    </row>
    <row r="185" spans="1:10" ht="15.75">
      <c r="A185" s="55"/>
      <c r="B185" s="55"/>
      <c r="C185" s="55"/>
      <c r="D185" s="64" t="s">
        <v>84</v>
      </c>
      <c r="E185" s="68">
        <f>ROUND(((E181-E182)/E183)/E184,2)</f>
        <v>36</v>
      </c>
      <c r="F185" s="55"/>
      <c r="G185" s="41" t="s">
        <v>120</v>
      </c>
      <c r="H185" s="55"/>
      <c r="I185" s="55"/>
      <c r="J185" s="65"/>
    </row>
    <row r="186" spans="1:9" ht="15">
      <c r="A186" s="55"/>
      <c r="B186" s="55"/>
      <c r="C186" s="55"/>
      <c r="D186" s="55"/>
      <c r="E186" s="55"/>
      <c r="F186" s="55"/>
      <c r="G186" s="55"/>
      <c r="H186" s="55"/>
      <c r="I186" s="55"/>
    </row>
    <row r="187" spans="1:10" ht="15.75">
      <c r="A187" s="55"/>
      <c r="B187" s="41" t="s">
        <v>115</v>
      </c>
      <c r="C187" s="55"/>
      <c r="D187" s="55"/>
      <c r="E187" s="106" t="s">
        <v>137</v>
      </c>
      <c r="F187" s="107"/>
      <c r="G187" s="107"/>
      <c r="H187" s="107"/>
      <c r="I187" s="107"/>
      <c r="J187" s="107"/>
    </row>
    <row r="188" spans="1:10" ht="15">
      <c r="A188" s="55"/>
      <c r="B188" s="55"/>
      <c r="C188" s="55"/>
      <c r="D188" s="55"/>
      <c r="E188" s="87"/>
      <c r="F188" s="87">
        <v>2</v>
      </c>
      <c r="G188" s="87"/>
      <c r="H188" s="87"/>
      <c r="I188" s="87"/>
      <c r="J188" s="87"/>
    </row>
    <row r="189" spans="1:9" ht="15">
      <c r="A189" s="55"/>
      <c r="B189" s="55"/>
      <c r="C189" s="55"/>
      <c r="D189" s="55"/>
      <c r="E189" s="55"/>
      <c r="F189" s="55"/>
      <c r="G189" s="55"/>
      <c r="H189" s="55"/>
      <c r="I189" s="55"/>
    </row>
    <row r="190" spans="1:9" ht="15.75">
      <c r="A190" s="55"/>
      <c r="B190" s="41" t="s">
        <v>116</v>
      </c>
      <c r="C190" s="55"/>
      <c r="D190" s="55"/>
      <c r="E190" s="55"/>
      <c r="F190" s="55"/>
      <c r="G190" s="55"/>
      <c r="H190" s="55"/>
      <c r="I190" s="55"/>
    </row>
    <row r="191" spans="1:10" ht="15">
      <c r="A191" s="55"/>
      <c r="B191" s="55"/>
      <c r="C191" s="55"/>
      <c r="D191" s="55"/>
      <c r="E191" s="75">
        <f>E153</f>
        <v>27900</v>
      </c>
      <c r="F191" s="55"/>
      <c r="G191" s="55" t="s">
        <v>158</v>
      </c>
      <c r="H191" s="55"/>
      <c r="I191" s="55"/>
      <c r="J191" s="63"/>
    </row>
    <row r="192" spans="1:10" ht="15">
      <c r="A192" s="55"/>
      <c r="B192" s="55"/>
      <c r="C192" s="55"/>
      <c r="D192" s="64" t="s">
        <v>90</v>
      </c>
      <c r="E192" s="75">
        <f>E154</f>
        <v>2790</v>
      </c>
      <c r="F192" s="55"/>
      <c r="G192" s="55" t="s">
        <v>138</v>
      </c>
      <c r="H192" s="55"/>
      <c r="I192" s="55"/>
      <c r="J192" s="65"/>
    </row>
    <row r="193" spans="1:10" ht="15">
      <c r="A193" s="55"/>
      <c r="B193" s="55"/>
      <c r="C193" s="55"/>
      <c r="D193" s="64" t="s">
        <v>81</v>
      </c>
      <c r="E193" s="55">
        <v>2</v>
      </c>
      <c r="F193" s="55"/>
      <c r="G193" s="55" t="s">
        <v>118</v>
      </c>
      <c r="H193" s="55"/>
      <c r="I193" s="55"/>
      <c r="J193" s="65"/>
    </row>
    <row r="194" spans="1:10" ht="15">
      <c r="A194" s="55"/>
      <c r="B194" s="55"/>
      <c r="C194" s="55"/>
      <c r="D194" s="64" t="s">
        <v>79</v>
      </c>
      <c r="E194" s="62">
        <f>Assumptions!E60</f>
        <v>4</v>
      </c>
      <c r="F194" s="55"/>
      <c r="G194" s="55" t="s">
        <v>216</v>
      </c>
      <c r="H194" s="55"/>
      <c r="I194" s="55"/>
      <c r="J194" s="65"/>
    </row>
    <row r="195" spans="1:10" ht="15">
      <c r="A195" s="55"/>
      <c r="B195" s="55"/>
      <c r="C195" s="55"/>
      <c r="D195" s="64" t="s">
        <v>81</v>
      </c>
      <c r="E195" s="47">
        <f>Assumptions!$F$4</f>
        <v>30</v>
      </c>
      <c r="F195" s="47"/>
      <c r="G195" s="47" t="s">
        <v>139</v>
      </c>
      <c r="H195" s="55"/>
      <c r="I195" s="55"/>
      <c r="J195" s="65"/>
    </row>
    <row r="196" spans="1:10" ht="15.75">
      <c r="A196" s="55"/>
      <c r="B196" s="55"/>
      <c r="C196" s="55"/>
      <c r="D196" s="64" t="s">
        <v>84</v>
      </c>
      <c r="E196" s="68">
        <f>ROUND(((E191+E192)/E193*(E194/100))/E195,2)</f>
        <v>20.46</v>
      </c>
      <c r="F196" s="55"/>
      <c r="G196" s="41" t="s">
        <v>120</v>
      </c>
      <c r="H196" s="55"/>
      <c r="I196" s="55"/>
      <c r="J196" s="65"/>
    </row>
    <row r="197" spans="1:9" ht="15">
      <c r="A197" s="55"/>
      <c r="B197" s="55"/>
      <c r="C197" s="55"/>
      <c r="D197" s="55"/>
      <c r="E197" s="55"/>
      <c r="F197" s="55"/>
      <c r="G197" s="55"/>
      <c r="H197" s="55"/>
      <c r="I197" s="55"/>
    </row>
    <row r="198" spans="1:9" ht="15.75">
      <c r="A198" s="55"/>
      <c r="B198" s="41" t="s">
        <v>117</v>
      </c>
      <c r="C198" s="55"/>
      <c r="D198" s="55"/>
      <c r="E198" s="55"/>
      <c r="F198" s="55"/>
      <c r="G198" s="55"/>
      <c r="H198" s="55"/>
      <c r="I198" s="55"/>
    </row>
    <row r="199" spans="1:10" ht="15">
      <c r="A199" s="55"/>
      <c r="B199" s="55" t="s">
        <v>175</v>
      </c>
      <c r="C199" s="55"/>
      <c r="D199" s="55"/>
      <c r="E199" s="75">
        <f>Assumptions!D79+Assumptions!D80</f>
        <v>6000</v>
      </c>
      <c r="F199" s="55"/>
      <c r="G199" s="55" t="s">
        <v>140</v>
      </c>
      <c r="H199" s="55"/>
      <c r="I199" s="55"/>
      <c r="J199" s="63"/>
    </row>
    <row r="200" spans="1:10" ht="15">
      <c r="A200" s="55"/>
      <c r="B200" s="55"/>
      <c r="C200" s="55"/>
      <c r="D200" s="64" t="s">
        <v>90</v>
      </c>
      <c r="E200" s="83">
        <f>E199*Assumptions!E79/100</f>
        <v>1800</v>
      </c>
      <c r="F200" s="70"/>
      <c r="G200" s="70" t="s">
        <v>138</v>
      </c>
      <c r="H200" s="55"/>
      <c r="I200" s="55"/>
      <c r="J200" s="65"/>
    </row>
    <row r="201" spans="1:10" ht="15">
      <c r="A201" s="55"/>
      <c r="B201" s="55"/>
      <c r="C201" s="55"/>
      <c r="D201" s="64" t="s">
        <v>81</v>
      </c>
      <c r="E201" s="55">
        <v>2</v>
      </c>
      <c r="F201" s="55"/>
      <c r="G201" s="55" t="s">
        <v>118</v>
      </c>
      <c r="H201" s="55"/>
      <c r="I201" s="55"/>
      <c r="J201" s="65"/>
    </row>
    <row r="202" spans="1:10" ht="15">
      <c r="A202" s="55"/>
      <c r="B202" s="55"/>
      <c r="C202" s="55"/>
      <c r="D202" s="64" t="s">
        <v>79</v>
      </c>
      <c r="E202" s="62">
        <f>Assumptions!E60</f>
        <v>4</v>
      </c>
      <c r="F202" s="55"/>
      <c r="G202" s="55" t="s">
        <v>216</v>
      </c>
      <c r="H202" s="55"/>
      <c r="I202" s="55"/>
      <c r="J202" s="65"/>
    </row>
    <row r="203" spans="1:10" ht="15">
      <c r="A203" s="55"/>
      <c r="B203" s="55"/>
      <c r="C203" s="55"/>
      <c r="D203" s="64" t="s">
        <v>81</v>
      </c>
      <c r="E203" s="47">
        <f>Assumptions!$F$4</f>
        <v>30</v>
      </c>
      <c r="F203" s="47"/>
      <c r="G203" s="47" t="s">
        <v>139</v>
      </c>
      <c r="H203" s="55"/>
      <c r="I203" s="55"/>
      <c r="J203" s="65"/>
    </row>
    <row r="204" spans="1:10" ht="15">
      <c r="A204" s="55"/>
      <c r="B204" s="55"/>
      <c r="C204" s="55"/>
      <c r="D204" s="64" t="s">
        <v>84</v>
      </c>
      <c r="E204" s="74">
        <f>ROUND((((E199+E200)/E201)*E202/100)/E203,2)</f>
        <v>5.2</v>
      </c>
      <c r="F204" s="55"/>
      <c r="G204" s="70" t="s">
        <v>120</v>
      </c>
      <c r="H204" s="55"/>
      <c r="I204" s="55"/>
      <c r="J204" s="65"/>
    </row>
    <row r="205" spans="1:9" ht="15">
      <c r="A205" s="55"/>
      <c r="B205" s="55"/>
      <c r="C205" s="55"/>
      <c r="D205" s="55"/>
      <c r="E205" s="55"/>
      <c r="F205" s="55"/>
      <c r="G205" s="55"/>
      <c r="H205" s="55"/>
      <c r="I205" s="55"/>
    </row>
    <row r="206" spans="1:10" ht="15">
      <c r="A206" s="55"/>
      <c r="B206" s="55" t="s">
        <v>168</v>
      </c>
      <c r="C206" s="55"/>
      <c r="D206" s="55"/>
      <c r="E206" s="75">
        <f>Assumptions!D81</f>
        <v>400</v>
      </c>
      <c r="F206" s="55"/>
      <c r="G206" s="55" t="s">
        <v>141</v>
      </c>
      <c r="H206" s="55"/>
      <c r="I206" s="55"/>
      <c r="J206" s="63"/>
    </row>
    <row r="207" spans="1:10" ht="15">
      <c r="A207" s="55"/>
      <c r="B207" s="55"/>
      <c r="C207" s="55"/>
      <c r="D207" s="64" t="s">
        <v>90</v>
      </c>
      <c r="E207" s="83">
        <f>Assumptions!D81*(Assumptions!E81/100)</f>
        <v>80</v>
      </c>
      <c r="F207" s="70"/>
      <c r="G207" s="70" t="s">
        <v>138</v>
      </c>
      <c r="H207" s="55"/>
      <c r="I207" s="55"/>
      <c r="J207" s="65"/>
    </row>
    <row r="208" spans="1:10" ht="15">
      <c r="A208" s="55"/>
      <c r="B208" s="55"/>
      <c r="C208" s="55"/>
      <c r="D208" s="64" t="s">
        <v>81</v>
      </c>
      <c r="E208" s="55">
        <v>2</v>
      </c>
      <c r="F208" s="55"/>
      <c r="G208" s="55" t="s">
        <v>118</v>
      </c>
      <c r="H208" s="55"/>
      <c r="I208" s="55"/>
      <c r="J208" s="65"/>
    </row>
    <row r="209" spans="1:10" ht="15">
      <c r="A209" s="55"/>
      <c r="B209" s="55"/>
      <c r="C209" s="55"/>
      <c r="D209" s="64" t="s">
        <v>79</v>
      </c>
      <c r="E209" s="62">
        <f>Assumptions!E60</f>
        <v>4</v>
      </c>
      <c r="F209" s="55"/>
      <c r="G209" s="55" t="s">
        <v>216</v>
      </c>
      <c r="H209" s="55"/>
      <c r="I209" s="55"/>
      <c r="J209" s="65"/>
    </row>
    <row r="210" spans="1:10" ht="15">
      <c r="A210" s="55"/>
      <c r="B210" s="55"/>
      <c r="C210" s="55"/>
      <c r="D210" s="64" t="s">
        <v>81</v>
      </c>
      <c r="E210" s="47">
        <f>Assumptions!$F$4</f>
        <v>30</v>
      </c>
      <c r="F210" s="47"/>
      <c r="G210" s="47" t="s">
        <v>139</v>
      </c>
      <c r="H210" s="55"/>
      <c r="I210" s="55"/>
      <c r="J210" s="65"/>
    </row>
    <row r="211" spans="1:10" ht="15">
      <c r="A211" s="55"/>
      <c r="B211" s="55"/>
      <c r="C211" s="55"/>
      <c r="D211" s="64" t="s">
        <v>84</v>
      </c>
      <c r="E211" s="74">
        <f>ROUND((((E206+E207)/E208)*E209/100)/E210,2)</f>
        <v>0.32</v>
      </c>
      <c r="F211" s="55"/>
      <c r="G211" s="55" t="s">
        <v>120</v>
      </c>
      <c r="H211" s="55"/>
      <c r="I211" s="55"/>
      <c r="J211" s="65"/>
    </row>
    <row r="212" spans="1:9" ht="15">
      <c r="A212" s="55"/>
      <c r="B212" s="55"/>
      <c r="C212" s="55"/>
      <c r="D212" s="55"/>
      <c r="E212" s="55"/>
      <c r="F212" s="55"/>
      <c r="G212" s="55" t="s">
        <v>0</v>
      </c>
      <c r="H212" s="55"/>
      <c r="I212" s="55"/>
    </row>
    <row r="213" spans="1:10" ht="15">
      <c r="A213" s="55"/>
      <c r="B213" s="55" t="s">
        <v>167</v>
      </c>
      <c r="C213" s="55"/>
      <c r="D213" s="55"/>
      <c r="E213" s="80">
        <f>Assumptions!D82</f>
        <v>1000</v>
      </c>
      <c r="F213" s="55"/>
      <c r="G213" s="55" t="s">
        <v>141</v>
      </c>
      <c r="H213" s="55"/>
      <c r="I213" s="55"/>
      <c r="J213" s="63"/>
    </row>
    <row r="214" spans="1:10" ht="15">
      <c r="A214" s="55"/>
      <c r="B214" s="55"/>
      <c r="C214" s="55"/>
      <c r="D214" s="64" t="s">
        <v>90</v>
      </c>
      <c r="E214" s="86">
        <f>Assumptions!D82*(Assumptions!E82/100)</f>
        <v>300</v>
      </c>
      <c r="F214" s="60"/>
      <c r="G214" s="70" t="s">
        <v>138</v>
      </c>
      <c r="H214" s="55"/>
      <c r="I214" s="55"/>
      <c r="J214" s="65"/>
    </row>
    <row r="215" spans="1:10" ht="15">
      <c r="A215" s="55"/>
      <c r="B215" s="55"/>
      <c r="C215" s="55"/>
      <c r="D215" s="64" t="s">
        <v>81</v>
      </c>
      <c r="E215" s="55">
        <v>2</v>
      </c>
      <c r="F215" s="55"/>
      <c r="G215" s="55" t="s">
        <v>118</v>
      </c>
      <c r="H215" s="55"/>
      <c r="I215" s="55"/>
      <c r="J215" s="65"/>
    </row>
    <row r="216" spans="1:10" ht="15">
      <c r="A216" s="55"/>
      <c r="B216" s="55"/>
      <c r="C216" s="55"/>
      <c r="D216" s="64" t="s">
        <v>79</v>
      </c>
      <c r="E216" s="62">
        <f>Assumptions!E60</f>
        <v>4</v>
      </c>
      <c r="F216" s="55"/>
      <c r="G216" s="55" t="s">
        <v>216</v>
      </c>
      <c r="H216" s="55"/>
      <c r="I216" s="55"/>
      <c r="J216" s="65"/>
    </row>
    <row r="217" spans="1:10" ht="15">
      <c r="A217" s="55"/>
      <c r="B217" s="55"/>
      <c r="C217" s="55"/>
      <c r="D217" s="64" t="s">
        <v>81</v>
      </c>
      <c r="E217" s="47">
        <f>Assumptions!F4</f>
        <v>30</v>
      </c>
      <c r="F217" s="55"/>
      <c r="G217" s="47" t="s">
        <v>139</v>
      </c>
      <c r="H217" s="55"/>
      <c r="I217" s="55"/>
      <c r="J217" s="65"/>
    </row>
    <row r="218" spans="1:10" ht="15">
      <c r="A218" s="55"/>
      <c r="B218" s="55"/>
      <c r="C218" s="55"/>
      <c r="D218" s="64" t="s">
        <v>84</v>
      </c>
      <c r="E218" s="74">
        <f>ROUND((((E213+E214)/E215)*E216/100)/E217,2)</f>
        <v>0.87</v>
      </c>
      <c r="F218" s="55"/>
      <c r="G218" s="55" t="s">
        <v>120</v>
      </c>
      <c r="H218" s="55"/>
      <c r="I218" s="55"/>
      <c r="J218" s="65"/>
    </row>
    <row r="219" spans="1:9" ht="15">
      <c r="A219" s="55"/>
      <c r="B219" s="55"/>
      <c r="C219" s="55"/>
      <c r="D219" s="55"/>
      <c r="E219" s="55"/>
      <c r="F219" s="55"/>
      <c r="G219" s="55"/>
      <c r="H219" s="55"/>
      <c r="I219" s="55"/>
    </row>
    <row r="220" spans="1:10" ht="15.75">
      <c r="A220" s="55"/>
      <c r="B220" s="55"/>
      <c r="C220" s="55" t="s">
        <v>122</v>
      </c>
      <c r="D220" s="55"/>
      <c r="E220" s="68">
        <f>E211+E204+E218</f>
        <v>6.390000000000001</v>
      </c>
      <c r="F220" s="55"/>
      <c r="G220" s="41" t="s">
        <v>120</v>
      </c>
      <c r="H220" s="55"/>
      <c r="I220" s="55"/>
      <c r="J220" s="63"/>
    </row>
    <row r="221" spans="1:9" ht="15">
      <c r="A221" s="55"/>
      <c r="B221" s="55"/>
      <c r="C221" s="55"/>
      <c r="D221" s="55"/>
      <c r="E221" s="55"/>
      <c r="F221" s="55"/>
      <c r="G221" s="55"/>
      <c r="H221" s="55"/>
      <c r="I221" s="55"/>
    </row>
    <row r="222" spans="1:9" ht="15.75">
      <c r="A222" s="55"/>
      <c r="B222" s="41" t="s">
        <v>119</v>
      </c>
      <c r="C222" s="55"/>
      <c r="D222" s="55"/>
      <c r="E222" s="55"/>
      <c r="F222" s="55"/>
      <c r="G222" s="55"/>
      <c r="H222" s="55"/>
      <c r="I222" s="55"/>
    </row>
    <row r="223" spans="1:10" ht="15">
      <c r="A223" s="55"/>
      <c r="B223" s="55"/>
      <c r="C223" s="55"/>
      <c r="D223" s="55"/>
      <c r="E223" s="75">
        <f>Assumptions!F5</f>
        <v>1200</v>
      </c>
      <c r="F223" s="55"/>
      <c r="G223" s="55" t="s">
        <v>120</v>
      </c>
      <c r="H223" s="55"/>
      <c r="I223" s="55"/>
      <c r="J223" s="63"/>
    </row>
    <row r="224" spans="1:10" ht="15">
      <c r="A224" s="55"/>
      <c r="B224" s="55"/>
      <c r="C224" s="55"/>
      <c r="D224" s="64" t="s">
        <v>79</v>
      </c>
      <c r="E224" s="88">
        <f>Assumptions!E60</f>
        <v>4</v>
      </c>
      <c r="F224" s="47"/>
      <c r="G224" s="47" t="s">
        <v>216</v>
      </c>
      <c r="H224" s="55"/>
      <c r="I224" s="55"/>
      <c r="J224" s="65"/>
    </row>
    <row r="225" spans="1:10" ht="15.75">
      <c r="A225" s="55"/>
      <c r="B225" s="55"/>
      <c r="C225" s="55"/>
      <c r="D225" s="67" t="s">
        <v>84</v>
      </c>
      <c r="E225" s="68">
        <f>ROUND(E223*(E224/100),2)</f>
        <v>48</v>
      </c>
      <c r="F225" s="41"/>
      <c r="G225" s="41" t="s">
        <v>120</v>
      </c>
      <c r="H225" s="55"/>
      <c r="I225" s="55"/>
      <c r="J225" s="65"/>
    </row>
    <row r="226" spans="1:9" ht="15">
      <c r="A226" s="55"/>
      <c r="B226" s="55"/>
      <c r="C226" s="55"/>
      <c r="D226" s="55"/>
      <c r="E226" s="55"/>
      <c r="F226" s="55"/>
      <c r="G226" s="55"/>
      <c r="H226" s="55"/>
      <c r="I226" s="55"/>
    </row>
    <row r="227" spans="1:9" ht="15.75">
      <c r="A227" s="55"/>
      <c r="B227" s="41" t="s">
        <v>121</v>
      </c>
      <c r="C227" s="55"/>
      <c r="D227" s="55"/>
      <c r="E227" s="55"/>
      <c r="F227" s="55"/>
      <c r="G227" s="55"/>
      <c r="H227" s="55"/>
      <c r="I227" s="55"/>
    </row>
    <row r="228" spans="1:10" ht="15">
      <c r="A228" s="55"/>
      <c r="B228" s="55" t="s">
        <v>169</v>
      </c>
      <c r="C228" s="55"/>
      <c r="D228" s="55"/>
      <c r="E228" s="75">
        <f>Assumptions!D86</f>
        <v>24000</v>
      </c>
      <c r="F228" s="55"/>
      <c r="G228" s="55" t="s">
        <v>141</v>
      </c>
      <c r="H228" s="55"/>
      <c r="I228" s="55"/>
      <c r="J228" s="63"/>
    </row>
    <row r="229" spans="1:9" ht="15">
      <c r="A229" s="55"/>
      <c r="B229" s="55"/>
      <c r="C229" s="55"/>
      <c r="D229" s="64" t="s">
        <v>90</v>
      </c>
      <c r="E229" s="75">
        <f>Assumptions!$D$86*(Assumptions!$E$86/100)</f>
        <v>2400</v>
      </c>
      <c r="F229" s="47"/>
      <c r="G229" s="70" t="s">
        <v>138</v>
      </c>
      <c r="H229" s="55"/>
      <c r="I229" s="55"/>
    </row>
    <row r="230" spans="1:10" ht="15">
      <c r="A230" s="55"/>
      <c r="B230" s="55"/>
      <c r="C230" s="55"/>
      <c r="D230" s="64" t="s">
        <v>81</v>
      </c>
      <c r="E230" s="55">
        <v>2</v>
      </c>
      <c r="F230" s="55"/>
      <c r="G230" s="55" t="s">
        <v>118</v>
      </c>
      <c r="H230" s="55"/>
      <c r="I230" s="55"/>
      <c r="J230" s="65"/>
    </row>
    <row r="231" spans="1:10" ht="15">
      <c r="A231" s="55"/>
      <c r="B231" s="55"/>
      <c r="C231" s="55"/>
      <c r="D231" s="64" t="s">
        <v>79</v>
      </c>
      <c r="E231" s="62">
        <f>Assumptions!E60</f>
        <v>4</v>
      </c>
      <c r="F231" s="55"/>
      <c r="G231" s="55" t="s">
        <v>216</v>
      </c>
      <c r="H231" s="55"/>
      <c r="I231" s="55"/>
      <c r="J231" s="65"/>
    </row>
    <row r="232" spans="1:10" ht="15">
      <c r="A232" s="55"/>
      <c r="B232" s="55"/>
      <c r="C232" s="55"/>
      <c r="D232" s="64" t="s">
        <v>81</v>
      </c>
      <c r="E232" s="47">
        <f>Assumptions!F4</f>
        <v>30</v>
      </c>
      <c r="F232" s="47"/>
      <c r="G232" s="47" t="s">
        <v>139</v>
      </c>
      <c r="H232" s="55"/>
      <c r="I232" s="55"/>
      <c r="J232" s="65"/>
    </row>
    <row r="233" spans="1:10" ht="15">
      <c r="A233" s="55"/>
      <c r="B233" s="55"/>
      <c r="C233" s="55"/>
      <c r="D233" s="64" t="s">
        <v>84</v>
      </c>
      <c r="E233" s="74">
        <f>ROUND((((E228+E229)/E230)*E231/100)/E232,2)</f>
        <v>17.6</v>
      </c>
      <c r="F233" s="55"/>
      <c r="G233" s="55" t="s">
        <v>120</v>
      </c>
      <c r="H233" s="55"/>
      <c r="I233" s="55"/>
      <c r="J233" s="65"/>
    </row>
    <row r="234" spans="1:9" ht="15">
      <c r="A234" s="55"/>
      <c r="B234" s="55"/>
      <c r="C234" s="55"/>
      <c r="D234" s="55"/>
      <c r="E234" s="55"/>
      <c r="F234" s="55"/>
      <c r="G234" s="55"/>
      <c r="H234" s="55"/>
      <c r="I234" s="55"/>
    </row>
    <row r="235" spans="1:10" ht="15">
      <c r="A235" s="55"/>
      <c r="B235" s="55" t="s">
        <v>170</v>
      </c>
      <c r="C235" s="55"/>
      <c r="D235" s="55"/>
      <c r="E235" s="75">
        <f>Assumptions!D87</f>
        <v>18000</v>
      </c>
      <c r="F235" s="55"/>
      <c r="G235" s="55" t="s">
        <v>141</v>
      </c>
      <c r="H235" s="55"/>
      <c r="I235" s="55"/>
      <c r="J235" s="63"/>
    </row>
    <row r="236" spans="1:10" ht="15">
      <c r="A236" s="55"/>
      <c r="B236" s="55"/>
      <c r="C236" s="55"/>
      <c r="D236" s="64" t="s">
        <v>79</v>
      </c>
      <c r="E236" s="62">
        <f>Assumptions!E60</f>
        <v>4</v>
      </c>
      <c r="F236" s="55"/>
      <c r="G236" s="55" t="s">
        <v>216</v>
      </c>
      <c r="H236" s="55"/>
      <c r="I236" s="55"/>
      <c r="J236" s="65"/>
    </row>
    <row r="237" spans="1:10" ht="15">
      <c r="A237" s="55"/>
      <c r="B237" s="55"/>
      <c r="C237" s="55"/>
      <c r="D237" s="64" t="s">
        <v>81</v>
      </c>
      <c r="E237" s="47">
        <f>Assumptions!F4</f>
        <v>30</v>
      </c>
      <c r="F237" s="47"/>
      <c r="G237" s="47" t="s">
        <v>139</v>
      </c>
      <c r="H237" s="55"/>
      <c r="I237" s="55"/>
      <c r="J237" s="65"/>
    </row>
    <row r="238" spans="1:10" ht="15">
      <c r="A238" s="55"/>
      <c r="B238" s="55"/>
      <c r="C238" s="55"/>
      <c r="D238" s="64" t="s">
        <v>84</v>
      </c>
      <c r="E238" s="74">
        <f>ROUND((E235*E236/100)/E237,2)</f>
        <v>24</v>
      </c>
      <c r="F238" s="55"/>
      <c r="G238" s="55" t="s">
        <v>120</v>
      </c>
      <c r="H238" s="55"/>
      <c r="I238" s="55"/>
      <c r="J238" s="65"/>
    </row>
    <row r="239" spans="1:9" ht="15">
      <c r="A239" s="55"/>
      <c r="B239" s="55"/>
      <c r="C239" s="55"/>
      <c r="D239" s="64"/>
      <c r="E239" s="55"/>
      <c r="F239" s="55"/>
      <c r="G239" s="55"/>
      <c r="H239" s="55"/>
      <c r="I239" s="55"/>
    </row>
    <row r="240" spans="1:10" ht="15.75">
      <c r="A240" s="55"/>
      <c r="B240" s="55"/>
      <c r="C240" s="44" t="s">
        <v>94</v>
      </c>
      <c r="D240" s="64" t="s">
        <v>84</v>
      </c>
      <c r="E240" s="68">
        <f>E233+E238</f>
        <v>41.6</v>
      </c>
      <c r="F240" s="55"/>
      <c r="G240" s="41" t="s">
        <v>120</v>
      </c>
      <c r="H240" s="55"/>
      <c r="I240" s="55"/>
      <c r="J240" s="63"/>
    </row>
    <row r="241" spans="1:9" ht="15">
      <c r="A241" s="55"/>
      <c r="B241" s="55"/>
      <c r="C241" s="55"/>
      <c r="D241" s="55"/>
      <c r="E241" s="55"/>
      <c r="F241" s="55"/>
      <c r="G241" s="55"/>
      <c r="H241" s="55"/>
      <c r="I241" s="55"/>
    </row>
    <row r="242" spans="1:9" ht="15.75">
      <c r="A242" s="55"/>
      <c r="B242" s="41" t="s">
        <v>75</v>
      </c>
      <c r="C242" s="55"/>
      <c r="D242" s="55"/>
      <c r="E242" s="55"/>
      <c r="F242" s="55"/>
      <c r="G242" s="55"/>
      <c r="H242" s="55"/>
      <c r="I242" s="55"/>
    </row>
    <row r="243" spans="1:10" ht="15">
      <c r="A243" s="55"/>
      <c r="B243" s="55"/>
      <c r="C243" s="55"/>
      <c r="D243" s="64"/>
      <c r="E243" s="55">
        <f>Assumptions!F97</f>
        <v>5</v>
      </c>
      <c r="F243" s="55"/>
      <c r="G243" s="55" t="s">
        <v>142</v>
      </c>
      <c r="H243" s="55"/>
      <c r="I243" s="55"/>
      <c r="J243" s="63"/>
    </row>
    <row r="244" spans="1:10" ht="15">
      <c r="A244" s="55"/>
      <c r="B244" s="55"/>
      <c r="C244" s="55"/>
      <c r="D244" s="89" t="s">
        <v>79</v>
      </c>
      <c r="E244" s="66">
        <f>Assumptions!F98</f>
        <v>10</v>
      </c>
      <c r="F244" s="47"/>
      <c r="G244" s="47" t="s">
        <v>143</v>
      </c>
      <c r="H244" s="55"/>
      <c r="I244" s="55"/>
      <c r="J244" s="65"/>
    </row>
    <row r="245" spans="1:10" ht="15.75">
      <c r="A245" s="55"/>
      <c r="B245" s="55"/>
      <c r="C245" s="55"/>
      <c r="D245" s="67" t="s">
        <v>84</v>
      </c>
      <c r="E245" s="68">
        <f>E243*E244</f>
        <v>50</v>
      </c>
      <c r="F245" s="55"/>
      <c r="G245" s="41" t="s">
        <v>120</v>
      </c>
      <c r="H245" s="55"/>
      <c r="I245" s="55"/>
      <c r="J245" s="65"/>
    </row>
    <row r="246" spans="1:10" ht="15.75">
      <c r="A246" s="55"/>
      <c r="B246" s="55"/>
      <c r="C246" s="55"/>
      <c r="D246" s="41"/>
      <c r="E246" s="68"/>
      <c r="F246" s="55"/>
      <c r="G246" s="41"/>
      <c r="H246" s="55"/>
      <c r="I246" s="55"/>
      <c r="J246" s="90"/>
    </row>
    <row r="247" spans="1:10" ht="15">
      <c r="A247" s="55"/>
      <c r="B247" s="108" t="s">
        <v>132</v>
      </c>
      <c r="C247" s="109"/>
      <c r="D247" s="109"/>
      <c r="E247" s="109"/>
      <c r="F247" s="109"/>
      <c r="G247" s="109"/>
      <c r="H247" s="109"/>
      <c r="I247" s="109"/>
      <c r="J247" s="109"/>
    </row>
    <row r="248" spans="1:10" ht="15">
      <c r="A248" s="55"/>
      <c r="B248" s="109"/>
      <c r="C248" s="109"/>
      <c r="D248" s="109"/>
      <c r="E248" s="109"/>
      <c r="F248" s="109"/>
      <c r="G248" s="109"/>
      <c r="H248" s="109"/>
      <c r="I248" s="109"/>
      <c r="J248" s="109"/>
    </row>
    <row r="249" spans="1:9" ht="15">
      <c r="A249" s="55"/>
      <c r="B249" s="55" t="s">
        <v>129</v>
      </c>
      <c r="C249" s="55"/>
      <c r="D249" s="55"/>
      <c r="E249" s="55"/>
      <c r="F249" s="55"/>
      <c r="G249" s="55"/>
      <c r="H249" s="55"/>
      <c r="I249" s="55"/>
    </row>
    <row r="250" spans="2:7" ht="15">
      <c r="B250" s="32" t="s">
        <v>131</v>
      </c>
      <c r="G250" s="32" t="s">
        <v>176</v>
      </c>
    </row>
    <row r="251" spans="2:7" ht="15">
      <c r="B251" s="32" t="s">
        <v>130</v>
      </c>
      <c r="G251" s="32" t="s">
        <v>177</v>
      </c>
    </row>
    <row r="253" ht="15">
      <c r="B253" s="32" t="s">
        <v>133</v>
      </c>
    </row>
    <row r="254" ht="15">
      <c r="B254" s="32" t="s">
        <v>134</v>
      </c>
    </row>
  </sheetData>
  <sheetProtection password="C7C6" sheet="1" objects="1" scenarios="1"/>
  <mergeCells count="9">
    <mergeCell ref="B2:J2"/>
    <mergeCell ref="B4:J4"/>
    <mergeCell ref="B12:J13"/>
    <mergeCell ref="B122:J122"/>
    <mergeCell ref="B15:J17"/>
    <mergeCell ref="E149:H149"/>
    <mergeCell ref="E150:H150"/>
    <mergeCell ref="E187:J187"/>
    <mergeCell ref="B247:J248"/>
  </mergeCells>
  <printOptions/>
  <pageMargins left="0.75" right="0.75" top="1" bottom="1" header="0.5" footer="0.5"/>
  <pageSetup firstPageNumber="3" useFirstPageNumber="1" horizontalDpi="300" verticalDpi="300" orientation="portrait" scale="97" r:id="rId1"/>
  <headerFooter alignWithMargins="0">
    <oddHeader>&amp;LElk Velvet Bull Costs</oddHeader>
    <oddFooter>&amp;C&amp;P&amp;R&amp;10Manitoba Agriculture and Food
&amp;"Arial,Italic"Farm Management</oddFooter>
  </headerFooter>
  <rowBreaks count="7" manualBreakCount="7">
    <brk id="36" max="9" man="1"/>
    <brk id="72" max="9" man="1"/>
    <brk id="108" max="9" man="1"/>
    <brk id="120" max="255" man="1"/>
    <brk id="157" max="9" man="1"/>
    <brk id="185" max="9" man="1"/>
    <brk id="220" max="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Peter Blawat, P.Ag.</Manager>
  <Company>Manitoba Agriculture, Food and Rural Initiatives (MAFRI)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Guidelines for Estimating Elk Velvet Bull Production Costs</dc:title>
  <dc:subject>Elk Velvet Bull Production Costs</dc:subject>
  <dc:creator>MAFRI Staff</dc:creator>
  <cp:keywords>Elk, Cost of Production, Economics</cp:keywords>
  <dc:description>A worksheet for calculating on-farm produciton cost for individual farms.</dc:description>
  <cp:lastModifiedBy>JGessner</cp:lastModifiedBy>
  <cp:lastPrinted>2003-12-03T20:24:52Z</cp:lastPrinted>
  <dcterms:created xsi:type="dcterms:W3CDTF">2000-02-07T19:56:02Z</dcterms:created>
  <dcterms:modified xsi:type="dcterms:W3CDTF">2008-07-11T13:29:08Z</dcterms:modified>
  <cp:category>Other Livestock Production</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xd_Signatu">
    <vt:lpwstr/>
  </property>
  <property fmtid="{D5CDD505-2E9C-101B-9397-08002B2CF9AE}" pid="4" name="TemplateU">
    <vt:lpwstr/>
  </property>
  <property fmtid="{D5CDD505-2E9C-101B-9397-08002B2CF9AE}" pid="5" name="xd_Prog">
    <vt:lpwstr/>
  </property>
  <property fmtid="{D5CDD505-2E9C-101B-9397-08002B2CF9AE}" pid="6" name="PublishingStartDa">
    <vt:lpwstr/>
  </property>
  <property fmtid="{D5CDD505-2E9C-101B-9397-08002B2CF9AE}" pid="7" name="PublishingExpirationDa">
    <vt:lpwstr/>
  </property>
  <property fmtid="{D5CDD505-2E9C-101B-9397-08002B2CF9AE}" pid="8" name="ContentType">
    <vt:lpwstr>0x010100ACAADE3355E29C4E95B09CD45679A285</vt:lpwstr>
  </property>
  <property fmtid="{D5CDD505-2E9C-101B-9397-08002B2CF9AE}" pid="9" name="_SourceU">
    <vt:lpwstr/>
  </property>
  <property fmtid="{D5CDD505-2E9C-101B-9397-08002B2CF9AE}" pid="10" name="_SharedFileInd">
    <vt:lpwstr/>
  </property>
</Properties>
</file>