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65476" windowWidth="8970" windowHeight="4575" tabRatio="780" activeTab="2"/>
  </bookViews>
  <sheets>
    <sheet name="Introduction" sheetId="1" r:id="rId1"/>
    <sheet name=" Summary" sheetId="2" r:id="rId2"/>
    <sheet name="Assumptions" sheetId="3" r:id="rId3"/>
    <sheet name="Establish" sheetId="4" r:id="rId4"/>
    <sheet name="Establish Details" sheetId="5" r:id="rId5"/>
    <sheet name="Picking" sheetId="6" r:id="rId6"/>
    <sheet name="Picking Details" sheetId="7" r:id="rId7"/>
  </sheets>
  <definedNames>
    <definedName name="\A">#REF!</definedName>
    <definedName name="\B">#REF!</definedName>
    <definedName name="\C">#REF!</definedName>
    <definedName name="\D">#REF!</definedName>
    <definedName name="\E">#REF!</definedName>
    <definedName name="\F">#REF!</definedName>
    <definedName name="\H">#REF!</definedName>
    <definedName name="\I">#REF!</definedName>
    <definedName name="\L">#REF!</definedName>
    <definedName name="\N">#REF!</definedName>
    <definedName name="\O">#REF!</definedName>
    <definedName name="\R">#REF!</definedName>
    <definedName name="\S">#REF!</definedName>
    <definedName name="\T">#REF!</definedName>
    <definedName name="\U">#REF!</definedName>
    <definedName name="\W">#REF!</definedName>
    <definedName name="\Y">#REF!</definedName>
    <definedName name="_xlnm.Print_Area" localSheetId="3">'Establish'!$A$1:$G$75</definedName>
    <definedName name="_xlnm.Print_Titles" localSheetId="4">'Establish Details'!$4:$4</definedName>
    <definedName name="_xlnm.Print_Titles" localSheetId="6">'Picking Details'!$5:$5</definedName>
    <definedName name="Z_6E930F6D_F725_11D2_92B5_0004ACD86FC2_.wvu.PrintArea" localSheetId="0" hidden="1">'Introduction'!$A$1:$B$20</definedName>
  </definedNames>
  <calcPr fullCalcOnLoad="1"/>
</workbook>
</file>

<file path=xl/comments4.xml><?xml version="1.0" encoding="utf-8"?>
<comments xmlns="http://schemas.openxmlformats.org/spreadsheetml/2006/main">
  <authors>
    <author>Lynn Hamilton</author>
  </authors>
  <commentList>
    <comment ref="E17" authorId="0">
      <text>
        <r>
          <rPr>
            <sz val="8"/>
            <rFont val="Tahoma"/>
            <family val="0"/>
          </rPr>
          <t xml:space="preserve">Burn off with glyphosate
</t>
        </r>
      </text>
    </comment>
  </commentList>
</comments>
</file>

<file path=xl/sharedStrings.xml><?xml version="1.0" encoding="utf-8"?>
<sst xmlns="http://schemas.openxmlformats.org/spreadsheetml/2006/main" count="611" uniqueCount="267">
  <si>
    <t xml:space="preserve"> </t>
  </si>
  <si>
    <t>lbs/acre</t>
  </si>
  <si>
    <t xml:space="preserve">1.02 Fertilizer </t>
  </si>
  <si>
    <t>Fertilizer</t>
  </si>
  <si>
    <t>Times</t>
  </si>
  <si>
    <t>Width</t>
  </si>
  <si>
    <t>Speed</t>
  </si>
  <si>
    <t>Tractor</t>
  </si>
  <si>
    <t>Operation</t>
  </si>
  <si>
    <t>Over</t>
  </si>
  <si>
    <t>Feet</t>
  </si>
  <si>
    <t>MPH</t>
  </si>
  <si>
    <t>HP</t>
  </si>
  <si>
    <t>Cultivate</t>
  </si>
  <si>
    <t>Spray</t>
  </si>
  <si>
    <t>Useful</t>
  </si>
  <si>
    <t>Salvage</t>
  </si>
  <si>
    <t>Capital Costs</t>
  </si>
  <si>
    <t>Life</t>
  </si>
  <si>
    <t>Value</t>
  </si>
  <si>
    <t>Labour Costs ($/acre)</t>
  </si>
  <si>
    <t>Machinery Costs</t>
  </si>
  <si>
    <t>1.02 Fertilizer</t>
  </si>
  <si>
    <t>Subtotal Operating</t>
  </si>
  <si>
    <t>Total Operating Costs</t>
  </si>
  <si>
    <t>2.01 Machinery</t>
  </si>
  <si>
    <t>3.01 Land</t>
  </si>
  <si>
    <t>3.02 Machinery</t>
  </si>
  <si>
    <t>Total Fixed Costs</t>
  </si>
  <si>
    <t>A. Operating Costs</t>
  </si>
  <si>
    <t>x</t>
  </si>
  <si>
    <t>=</t>
  </si>
  <si>
    <t>+</t>
  </si>
  <si>
    <t>TIME</t>
  </si>
  <si>
    <t>MAINT</t>
  </si>
  <si>
    <t>&amp; LUB</t>
  </si>
  <si>
    <t>÷</t>
  </si>
  <si>
    <t>B. Fixed Costs</t>
  </si>
  <si>
    <t>-</t>
  </si>
  <si>
    <t>feet</t>
  </si>
  <si>
    <t>mph</t>
  </si>
  <si>
    <t>Fuel</t>
  </si>
  <si>
    <t>$/ac.</t>
  </si>
  <si>
    <t>Rate per hour</t>
  </si>
  <si>
    <t>percentage rate</t>
  </si>
  <si>
    <t>investment/acre</t>
  </si>
  <si>
    <t>$/hour</t>
  </si>
  <si>
    <t>3. Investment</t>
  </si>
  <si>
    <t>2. Depreciation</t>
  </si>
  <si>
    <t>$ /acre</t>
  </si>
  <si>
    <t>average</t>
  </si>
  <si>
    <t>interest rate</t>
  </si>
  <si>
    <t>cost/acre</t>
  </si>
  <si>
    <t>salvage value</t>
  </si>
  <si>
    <t>useful life</t>
  </si>
  <si>
    <t>% investment rate</t>
  </si>
  <si>
    <t>C. Labour</t>
  </si>
  <si>
    <t>Total Cost of Production</t>
  </si>
  <si>
    <t>Interest on Investment</t>
  </si>
  <si>
    <t>Your Cost</t>
  </si>
  <si>
    <t>Total</t>
  </si>
  <si>
    <t xml:space="preserve">      Production Costs</t>
  </si>
  <si>
    <t>Original Value - Salvage Value</t>
  </si>
  <si>
    <t>$/acre</t>
  </si>
  <si>
    <t>Year</t>
  </si>
  <si>
    <t>1.03 Herbicides</t>
  </si>
  <si>
    <t>Market</t>
  </si>
  <si>
    <t>Storage Shed</t>
  </si>
  <si>
    <t>1.07 Repairs &amp; Maintenance</t>
  </si>
  <si>
    <t>1.09 Miscellaneous</t>
  </si>
  <si>
    <t>Annual</t>
  </si>
  <si>
    <t>Annual Cost</t>
  </si>
  <si>
    <t xml:space="preserve">                                Useful Life</t>
  </si>
  <si>
    <t>acres</t>
  </si>
  <si>
    <t>Applicator rental</t>
  </si>
  <si>
    <t>% rate of investment</t>
  </si>
  <si>
    <t>Allocated %</t>
  </si>
  <si>
    <t>Date:</t>
  </si>
  <si>
    <t>Guidelines For Estimating</t>
  </si>
  <si>
    <t xml:space="preserve">plants/acre </t>
  </si>
  <si>
    <t>Field Operations</t>
  </si>
  <si>
    <t>Labour</t>
  </si>
  <si>
    <t>Herbicides</t>
  </si>
  <si>
    <t>Insecticides</t>
  </si>
  <si>
    <t>Fungicides</t>
  </si>
  <si>
    <t>Weed Control</t>
  </si>
  <si>
    <t>Irrigation Equipment</t>
  </si>
  <si>
    <t>Irrigation</t>
  </si>
  <si>
    <t>Advertising</t>
  </si>
  <si>
    <t>Picking</t>
  </si>
  <si>
    <t>Straw removal</t>
  </si>
  <si>
    <t>Mowing</t>
  </si>
  <si>
    <t>Miscellaneous</t>
  </si>
  <si>
    <t>Land Taxes ($/acre)</t>
  </si>
  <si>
    <t>Total Yield (lbs/acre)</t>
  </si>
  <si>
    <t>Average Yield (lbs/acre)</t>
  </si>
  <si>
    <t>Interest  on Operating</t>
  </si>
  <si>
    <t>Land Value</t>
  </si>
  <si>
    <t>Market Value ($/acre)</t>
  </si>
  <si>
    <t>Land Cost</t>
  </si>
  <si>
    <t>Total Investment</t>
  </si>
  <si>
    <t>1.07 Irrigation Fuel Costs</t>
  </si>
  <si>
    <t>1.07 Irrigation Costs</t>
  </si>
  <si>
    <t>Estimated fuel cost per acre of picking year</t>
  </si>
  <si>
    <t>Fuel Price (Diesel $/litre)</t>
  </si>
  <si>
    <t>Capacity</t>
  </si>
  <si>
    <t>Ac/Hr</t>
  </si>
  <si>
    <t>Hr./Ac.</t>
  </si>
  <si>
    <t>Plants</t>
  </si>
  <si>
    <t>1.01 Seed &amp; Plants</t>
  </si>
  <si>
    <t>Seed and Plant Costs</t>
  </si>
  <si>
    <t>1.04 Insecticides</t>
  </si>
  <si>
    <t>1.05 Fungicides</t>
  </si>
  <si>
    <t>1.06 Field Fuel Costs</t>
  </si>
  <si>
    <t>1.09 Repair &amp; Maintenance</t>
  </si>
  <si>
    <t>inches of water applied</t>
  </si>
  <si>
    <t>rate/hour</t>
  </si>
  <si>
    <t>Plant</t>
  </si>
  <si>
    <t>Custom &amp; Rental Operations</t>
  </si>
  <si>
    <t>Repairs &amp; Maintenance</t>
  </si>
  <si>
    <t>Machinery</t>
  </si>
  <si>
    <t xml:space="preserve">Other </t>
  </si>
  <si>
    <t>pre plant &amp; planting</t>
  </si>
  <si>
    <t xml:space="preserve"> years in crop</t>
  </si>
  <si>
    <t xml:space="preserve">1.01 Seed and Plants </t>
  </si>
  <si>
    <t>1.05 Fungicide</t>
  </si>
  <si>
    <t>1.06 Fuel Costs</t>
  </si>
  <si>
    <t>Time</t>
  </si>
  <si>
    <t>Hr/Ac</t>
  </si>
  <si>
    <t>Maint.</t>
  </si>
  <si>
    <t>&amp; Lub.</t>
  </si>
  <si>
    <t>bales/acre</t>
  </si>
  <si>
    <t>$/bale</t>
  </si>
  <si>
    <t xml:space="preserve">    Inches applied</t>
  </si>
  <si>
    <t xml:space="preserve">    Hours per acre for 1' of water</t>
  </si>
  <si>
    <t xml:space="preserve">    Hourly pumping costs</t>
  </si>
  <si>
    <t>1.08 Custom &amp; Rental Operations</t>
  </si>
  <si>
    <t>Rototilling</t>
  </si>
  <si>
    <t>Pales/Baskets</t>
  </si>
  <si>
    <t>Utilities</t>
  </si>
  <si>
    <t>Number of acres in production</t>
  </si>
  <si>
    <t>Cultivator</t>
  </si>
  <si>
    <t>Total Labour Hours</t>
  </si>
  <si>
    <t>Labour Rate per hour</t>
  </si>
  <si>
    <t>Establish - Pre Plant &amp; Planting Year Details</t>
  </si>
  <si>
    <t>1.10 Miscellaneous</t>
  </si>
  <si>
    <t>1.11 Land Taxes</t>
  </si>
  <si>
    <t>1.12 Interest on Operating</t>
  </si>
  <si>
    <t>Other Costs</t>
  </si>
  <si>
    <t>Allocated $</t>
  </si>
  <si>
    <t>Crop Rotation and Yields</t>
  </si>
  <si>
    <t>1.08 Custom Operations</t>
  </si>
  <si>
    <t>hrs/ac weed control</t>
  </si>
  <si>
    <t>hrs/ac irrigation</t>
  </si>
  <si>
    <t>hrs/ac field operations</t>
  </si>
  <si>
    <t>Hours/acre</t>
  </si>
  <si>
    <t>Establishment Year Costs</t>
  </si>
  <si>
    <t>Picking Years - Details</t>
  </si>
  <si>
    <t>hours/acre for 1" of water</t>
  </si>
  <si>
    <t>subtotal operating</t>
  </si>
  <si>
    <t>1.01 Seed and Planting Costs</t>
  </si>
  <si>
    <t>3.03 Other Equipment</t>
  </si>
  <si>
    <t>2.02 Other Equipment</t>
  </si>
  <si>
    <t>Saskatoon</t>
  </si>
  <si>
    <t>Quick Freeze Unit</t>
  </si>
  <si>
    <t>Holding Freezer</t>
  </si>
  <si>
    <t>Pruning Equipment</t>
  </si>
  <si>
    <t xml:space="preserve">see establish </t>
  </si>
  <si>
    <t>$/ plant</t>
  </si>
  <si>
    <t>Harvester</t>
  </si>
  <si>
    <t xml:space="preserve">Field Operations: </t>
  </si>
  <si>
    <t>Plastic Mulch</t>
  </si>
  <si>
    <t>Custom</t>
  </si>
  <si>
    <t>Establishment Year 1</t>
  </si>
  <si>
    <t xml:space="preserve"> $/roll</t>
  </si>
  <si>
    <t>Establish Year 1</t>
  </si>
  <si>
    <t xml:space="preserve"> rolls/acre</t>
  </si>
  <si>
    <t>hrs/ac mowing</t>
  </si>
  <si>
    <t>Pest control</t>
  </si>
  <si>
    <t>hrs/ac pest control</t>
  </si>
  <si>
    <t>hrs/ac multching</t>
  </si>
  <si>
    <t>Other</t>
  </si>
  <si>
    <t xml:space="preserve"> $/acre</t>
  </si>
  <si>
    <t>Harvesting</t>
  </si>
  <si>
    <t>Cost / $acre</t>
  </si>
  <si>
    <t>Cost / $lb</t>
  </si>
  <si>
    <t>Seabuckthorn Berry</t>
  </si>
  <si>
    <t>May, 2006</t>
  </si>
  <si>
    <t>Seabuckthorn Berry  Assumptions</t>
  </si>
  <si>
    <t>Seabuckthorn Berry Cost of Production Worksheet</t>
  </si>
  <si>
    <t>Seabuckthorn Berry Picking Year Costs</t>
  </si>
  <si>
    <t>Year 2</t>
  </si>
  <si>
    <t>Year 3</t>
  </si>
  <si>
    <t>Year 4</t>
  </si>
  <si>
    <t>Year 6</t>
  </si>
  <si>
    <t>Year 7</t>
  </si>
  <si>
    <t>Year 8</t>
  </si>
  <si>
    <t>Year 9</t>
  </si>
  <si>
    <t>Year 10</t>
  </si>
  <si>
    <t>Year 11</t>
  </si>
  <si>
    <t>Year 12</t>
  </si>
  <si>
    <t>Year 13</t>
  </si>
  <si>
    <t>Year 14</t>
  </si>
  <si>
    <t>Year 15</t>
  </si>
  <si>
    <t>Year 16</t>
  </si>
  <si>
    <t>Year 17</t>
  </si>
  <si>
    <t>Year 18</t>
  </si>
  <si>
    <t>Year 19</t>
  </si>
  <si>
    <t>Year 20</t>
  </si>
  <si>
    <t>Year 5 (1st picking)</t>
  </si>
  <si>
    <t>Seabuckthorn</t>
  </si>
  <si>
    <t>50 hp</t>
  </si>
  <si>
    <t>Quad</t>
  </si>
  <si>
    <t>Wagon</t>
  </si>
  <si>
    <t>Rotary mower</t>
  </si>
  <si>
    <t>Mechanical planter</t>
  </si>
  <si>
    <t xml:space="preserve">    Seeding rate trees/acre </t>
  </si>
  <si>
    <t>trees/ac</t>
  </si>
  <si>
    <t xml:space="preserve">    Seed cost per plant</t>
  </si>
  <si>
    <t>Seed Grass</t>
  </si>
  <si>
    <t>Harrow</t>
  </si>
  <si>
    <t>Burn-off</t>
  </si>
  <si>
    <t>Monitoring</t>
  </si>
  <si>
    <t>Total Costs</t>
  </si>
  <si>
    <t>$/plant</t>
  </si>
  <si>
    <t>Custom Spray $/acre</t>
  </si>
  <si>
    <t>hrs/acre</t>
  </si>
  <si>
    <t>1.07 Custom Costs</t>
  </si>
  <si>
    <t>1.08 Repair &amp; Maintenance</t>
  </si>
  <si>
    <t>1.10 Land Taxes</t>
  </si>
  <si>
    <t>1.11 Interest on Operating</t>
  </si>
  <si>
    <t>1.08 Repairs and Maintanence</t>
  </si>
  <si>
    <t>2.02 Other</t>
  </si>
  <si>
    <t>3.03 Other</t>
  </si>
  <si>
    <t>Establish year 1</t>
  </si>
  <si>
    <t>Establish years 2 - 4</t>
  </si>
  <si>
    <t>years</t>
  </si>
  <si>
    <t>Years 1 - 4</t>
  </si>
  <si>
    <t>Land</t>
  </si>
  <si>
    <t xml:space="preserve">Average Investment </t>
  </si>
  <si>
    <t>Reefer rental</t>
  </si>
  <si>
    <t>Feefer other costs</t>
  </si>
  <si>
    <t>reefer</t>
  </si>
  <si>
    <t>reefer other costs</t>
  </si>
  <si>
    <t>hrs/ac monitoring</t>
  </si>
  <si>
    <t xml:space="preserve">For more information contact your local MAFRI office. </t>
  </si>
  <si>
    <t>Total Labour Costs</t>
  </si>
  <si>
    <t xml:space="preserve">    Applicator rental</t>
  </si>
  <si>
    <t>Establishment year 1</t>
  </si>
  <si>
    <t>Establishment years 2 - 4</t>
  </si>
  <si>
    <t>Total Miscellaneous</t>
  </si>
  <si>
    <t>Establish Years 2 -4</t>
  </si>
  <si>
    <r>
      <t>Disclaimer:</t>
    </r>
    <r>
      <rPr>
        <sz val="10"/>
        <rFont val="Arial"/>
        <family val="2"/>
      </rPr>
      <t xml:space="preserve"> This budget is only a guide and is not intended as an in depth study of the cost of production of the Manitoba Seabuckthorn Berry industry.</t>
    </r>
  </si>
  <si>
    <t>Years 5 - 20</t>
  </si>
  <si>
    <t>Average</t>
  </si>
  <si>
    <t>Marketable Yield</t>
  </si>
  <si>
    <t>Blower/Fan</t>
  </si>
  <si>
    <t>Fertilizer Cost</t>
  </si>
  <si>
    <t>hrs/ac harvesting</t>
  </si>
  <si>
    <t>Gross Yield</t>
  </si>
  <si>
    <t>lbs/acre (90%)</t>
  </si>
  <si>
    <t>Other field equip</t>
  </si>
  <si>
    <t>Mulching</t>
  </si>
  <si>
    <t>Mulch application</t>
  </si>
  <si>
    <r>
      <t>Original Value + Salvage Value</t>
    </r>
    <r>
      <rPr>
        <b/>
        <sz val="10"/>
        <rFont val="Arial"/>
        <family val="2"/>
      </rPr>
      <t xml:space="preserve">  x  Investment Rate</t>
    </r>
  </si>
  <si>
    <r>
      <t>Establishment</t>
    </r>
    <r>
      <rPr>
        <b/>
        <vertAlign val="superscript"/>
        <sz val="10"/>
        <rFont val="Arial"/>
        <family val="2"/>
      </rPr>
      <t>1</t>
    </r>
  </si>
  <si>
    <r>
      <t xml:space="preserve">1.01 Seed &amp; Plants </t>
    </r>
    <r>
      <rPr>
        <vertAlign val="superscript"/>
        <sz val="10"/>
        <rFont val="Arial"/>
        <family val="2"/>
      </rPr>
      <t>1</t>
    </r>
  </si>
</sst>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
    <numFmt numFmtId="174" formatCode="&quot;$&quot;#,##0.0000\ ;\(&quot;$&quot;#,##0.0000\)"/>
    <numFmt numFmtId="175" formatCode="#,##0.0"/>
    <numFmt numFmtId="176" formatCode="&quot;$&quot;#,##0.0000"/>
    <numFmt numFmtId="177" formatCode="&quot;$&quot;#,##0.00"/>
    <numFmt numFmtId="178" formatCode="yyyy"/>
    <numFmt numFmtId="179" formatCode="0.0"/>
    <numFmt numFmtId="180" formatCode="&quot;$&quot;#,##0.0\ ;\(&quot;$&quot;#,##0.0\)"/>
    <numFmt numFmtId="181" formatCode="#,##0.000"/>
    <numFmt numFmtId="182" formatCode=";;;"/>
    <numFmt numFmtId="183" formatCode="0.000"/>
    <numFmt numFmtId="184" formatCode="&quot;$&quot;#,##0.0_);\(&quot;$&quot;#,##0.0\)"/>
    <numFmt numFmtId="185" formatCode="#,##0.0_);\(#,##0.0\)"/>
    <numFmt numFmtId="186" formatCode="0.0000000"/>
    <numFmt numFmtId="187" formatCode="0.000000"/>
    <numFmt numFmtId="188" formatCode="0.00000"/>
    <numFmt numFmtId="189" formatCode="&quot;$&quot;#,##0"/>
    <numFmt numFmtId="190" formatCode="0.00000000"/>
    <numFmt numFmtId="191" formatCode="&quot;$&quot;#,##0.0"/>
    <numFmt numFmtId="192" formatCode="#,##0.000000000"/>
    <numFmt numFmtId="193" formatCode="0.0%"/>
    <numFmt numFmtId="194" formatCode="&quot;$&quot;#,##0.000_);\(&quot;$&quot;#,##0.000\)"/>
    <numFmt numFmtId="195" formatCode="&quot;$&quot;#,##0.0000_);\(&quot;$&quot;#,##0.0000\)"/>
    <numFmt numFmtId="196" formatCode="&quot;$&quot;#,##0.000"/>
    <numFmt numFmtId="197" formatCode="m/d/yy\ h:mm\ AM/PM"/>
    <numFmt numFmtId="198" formatCode="&quot;$&quot;#,##0.00_);[Red]&quot;$&quot;#,##0.00"/>
    <numFmt numFmtId="199" formatCode="\-\ \+\ &quot;$&quot;#,##0.00_);[Red]&quot;$&quot;#,##0.00"/>
    <numFmt numFmtId="200" formatCode="\-&quot;$&quot;#,##0.00_);[Red]&quot;$&quot;#,##0.00"/>
    <numFmt numFmtId="201" formatCode="#,##0.00_);[Red]&quot;$&quot;#,##0.00\ * \-\1"/>
    <numFmt numFmtId="202" formatCode="#,##0.00_);[Red]&quot;$&quot;#,##0.00,\-\ "/>
    <numFmt numFmtId="203" formatCode="\-\,#,##0.00_);[Red]&quot;$&quot;#,##0.00,"/>
    <numFmt numFmtId="204" formatCode="\-\,#,##0.00_);[Red]&quot;$&quot;#,##0.00"/>
    <numFmt numFmtId="205" formatCode="#,##0.00_);[Red]\1&quot;$&quot;#,##0.00"/>
    <numFmt numFmtId="206" formatCode="#,##0.00_);[Red]\-&quot;$&quot;#,##0.00"/>
    <numFmt numFmtId="207" formatCode="#,##0.00__;[Red]\-&quot;$&quot;#,##0.00"/>
    <numFmt numFmtId="208" formatCode="#,##0.00_);[Red]\-\ &quot;$&quot;#,##0.00"/>
    <numFmt numFmtId="209" formatCode="&quot;$&quot;#,##0.00_);[Red]\-&quot;$&quot;#,##0.00"/>
    <numFmt numFmtId="210" formatCode="m/d"/>
    <numFmt numFmtId="211" formatCode="mmmm\ d\,\ yyyy"/>
    <numFmt numFmtId="212" formatCode="#,##0.0000;[Red]\-#,##0.0000"/>
    <numFmt numFmtId="213" formatCode="&quot;$&quot;#,##0.0000;[Red]\-&quot;$&quot;#,##0.0000"/>
    <numFmt numFmtId="214" formatCode="&quot;$&quot;#,##0.0000_);[Red]\-&quot;$&quot;#,##0.0000"/>
    <numFmt numFmtId="215" formatCode="&quot;$&quot;#,##0.000;\-&quot;$&quot;#,##0.000"/>
    <numFmt numFmtId="216" formatCode="#,##0_ ;\-#,##0\ "/>
    <numFmt numFmtId="217" formatCode="#,##0.0_ ;\-#,##0.0\ "/>
    <numFmt numFmtId="218" formatCode="#,##0.00_ ;\-#,##0.00\ "/>
    <numFmt numFmtId="219" formatCode="&quot;$&quot;#,##0.0000;\-&quot;$&quot;#,##0.0000"/>
    <numFmt numFmtId="220" formatCode="&quot;$&quot;#,##0.0;\-&quot;$&quot;#,##0.0"/>
    <numFmt numFmtId="221" formatCode="&quot;$&quot;#,##0.00000"/>
    <numFmt numFmtId="222" formatCode="#,##0.000000000000"/>
    <numFmt numFmtId="223" formatCode="&quot;Yes&quot;;&quot;Yes&quot;;&quot;No&quot;"/>
    <numFmt numFmtId="224" formatCode="&quot;True&quot;;&quot;True&quot;;&quot;False&quot;"/>
    <numFmt numFmtId="225" formatCode="&quot;On&quot;;&quot;On&quot;;&quot;Off&quot;"/>
    <numFmt numFmtId="226" formatCode="[$€-2]\ #,##0.00_);[Red]\([$€-2]\ #,##0.00\)"/>
  </numFmts>
  <fonts count="65">
    <font>
      <sz val="12"/>
      <name val="Arial"/>
      <family val="0"/>
    </font>
    <font>
      <b/>
      <sz val="12"/>
      <name val="Arial"/>
      <family val="0"/>
    </font>
    <font>
      <b/>
      <u val="single"/>
      <sz val="12"/>
      <name val="Arial"/>
      <family val="0"/>
    </font>
    <font>
      <u val="single"/>
      <sz val="12"/>
      <name val="Arial"/>
      <family val="0"/>
    </font>
    <font>
      <b/>
      <sz val="10"/>
      <color indexed="12"/>
      <name val="Arial"/>
      <family val="2"/>
    </font>
    <font>
      <sz val="20"/>
      <color indexed="18"/>
      <name val="Arial"/>
      <family val="2"/>
    </font>
    <font>
      <sz val="26"/>
      <color indexed="18"/>
      <name val="Arial"/>
      <family val="2"/>
    </font>
    <font>
      <sz val="20"/>
      <name val="Arial"/>
      <family val="2"/>
    </font>
    <font>
      <sz val="8"/>
      <name val="Tahoma"/>
      <family val="0"/>
    </font>
    <font>
      <sz val="26"/>
      <color indexed="10"/>
      <name val="Arial"/>
      <family val="2"/>
    </font>
    <font>
      <sz val="10"/>
      <name val="Arial"/>
      <family val="2"/>
    </font>
    <font>
      <b/>
      <sz val="10"/>
      <name val="Arial"/>
      <family val="2"/>
    </font>
    <font>
      <sz val="8"/>
      <name val="Arial"/>
      <family val="0"/>
    </font>
    <font>
      <u val="single"/>
      <sz val="12"/>
      <color indexed="12"/>
      <name val="Arial"/>
      <family val="0"/>
    </font>
    <font>
      <u val="single"/>
      <sz val="12"/>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8"/>
      <name val="Arial"/>
      <family val="2"/>
    </font>
    <font>
      <u val="single"/>
      <sz val="10"/>
      <name val="Arial"/>
      <family val="2"/>
    </font>
    <font>
      <b/>
      <u val="single"/>
      <sz val="10"/>
      <name val="Arial"/>
      <family val="2"/>
    </font>
    <font>
      <sz val="11"/>
      <name val="Arial"/>
      <family val="2"/>
    </font>
    <font>
      <b/>
      <sz val="11"/>
      <name val="Arial"/>
      <family val="2"/>
    </font>
    <font>
      <b/>
      <u val="single"/>
      <sz val="11"/>
      <name val="Arial"/>
      <family val="2"/>
    </font>
    <font>
      <u val="single"/>
      <sz val="11"/>
      <name val="Arial"/>
      <family val="2"/>
    </font>
    <font>
      <sz val="10"/>
      <name val="Lucida Sans Unicode"/>
      <family val="2"/>
    </font>
    <font>
      <b/>
      <sz val="10"/>
      <color indexed="10"/>
      <name val="Arial"/>
      <family val="2"/>
    </font>
    <font>
      <b/>
      <vertAlign val="superscript"/>
      <sz val="10"/>
      <name val="Arial"/>
      <family val="2"/>
    </font>
    <font>
      <vertAlign val="superscript"/>
      <sz val="10"/>
      <name val="Arial"/>
      <family val="2"/>
    </font>
    <font>
      <b/>
      <sz val="11"/>
      <color indexed="12"/>
      <name val="Arial"/>
      <family val="2"/>
    </font>
    <font>
      <b/>
      <u val="single"/>
      <sz val="11"/>
      <color indexed="12"/>
      <name val="Arial"/>
      <family val="2"/>
    </font>
    <font>
      <sz val="10.5"/>
      <color indexed="8"/>
      <name val="Arial"/>
      <family val="2"/>
    </font>
    <font>
      <b/>
      <sz val="10.5"/>
      <color indexed="8"/>
      <name val="Arial"/>
      <family val="2"/>
    </font>
    <font>
      <b/>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7" fontId="0" fillId="0" borderId="0">
      <alignment horizontal="right" vertical="justify"/>
      <protection/>
    </xf>
    <xf numFmtId="0" fontId="52" fillId="0" borderId="0" applyNumberFormat="0" applyFill="0" applyBorder="0" applyAlignment="0" applyProtection="0"/>
    <xf numFmtId="0" fontId="1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177" fontId="0" fillId="0" borderId="0">
      <alignment vertical="top"/>
      <protection/>
    </xf>
    <xf numFmtId="0" fontId="0" fillId="32" borderId="7" applyNumberFormat="0" applyFont="0" applyAlignment="0" applyProtection="0"/>
    <xf numFmtId="0" fontId="60" fillId="27"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2">
    <xf numFmtId="0" fontId="0" fillId="0" borderId="0" xfId="0" applyAlignment="1">
      <alignment/>
    </xf>
    <xf numFmtId="177" fontId="0" fillId="0" borderId="0" xfId="54">
      <alignment vertical="top"/>
      <protection/>
    </xf>
    <xf numFmtId="177" fontId="0" fillId="0" borderId="0" xfId="54" applyFont="1" applyAlignment="1">
      <alignment horizontal="left" vertical="top"/>
      <protection/>
    </xf>
    <xf numFmtId="177" fontId="0" fillId="0" borderId="0" xfId="54" applyFont="1">
      <alignment vertical="top"/>
      <protection/>
    </xf>
    <xf numFmtId="0" fontId="0" fillId="0" borderId="0" xfId="0" applyAlignment="1">
      <alignment vertical="top"/>
    </xf>
    <xf numFmtId="177" fontId="0" fillId="0" borderId="0" xfId="54" applyFont="1" applyBorder="1" applyAlignment="1">
      <alignment vertical="top"/>
      <protection/>
    </xf>
    <xf numFmtId="177" fontId="0" fillId="0" borderId="0" xfId="54" applyBorder="1" applyAlignment="1">
      <alignment vertical="top"/>
      <protection/>
    </xf>
    <xf numFmtId="177" fontId="0" fillId="0" borderId="0" xfId="54" applyFont="1" applyAlignment="1">
      <alignment vertical="top"/>
      <protection/>
    </xf>
    <xf numFmtId="177" fontId="0" fillId="0" borderId="0" xfId="54" applyAlignment="1">
      <alignment vertical="top"/>
      <protection/>
    </xf>
    <xf numFmtId="177" fontId="1" fillId="0" borderId="0" xfId="54" applyFont="1" applyAlignment="1">
      <alignment horizontal="right" vertical="top"/>
      <protection/>
    </xf>
    <xf numFmtId="177" fontId="9" fillId="0" borderId="0" xfId="54" applyFont="1">
      <alignment vertical="top"/>
      <protection/>
    </xf>
    <xf numFmtId="177" fontId="1" fillId="0" borderId="0" xfId="54" applyFont="1" applyBorder="1" applyAlignment="1">
      <alignment vertical="top" wrapText="1"/>
      <protection/>
    </xf>
    <xf numFmtId="0" fontId="0" fillId="0" borderId="0" xfId="0" applyAlignment="1">
      <alignment vertical="top" wrapText="1"/>
    </xf>
    <xf numFmtId="177" fontId="5" fillId="0" borderId="0" xfId="54" applyFont="1" applyAlignment="1">
      <alignment horizontal="right" vertical="top" wrapText="1"/>
      <protection/>
    </xf>
    <xf numFmtId="0" fontId="0" fillId="0" borderId="0" xfId="0" applyAlignment="1">
      <alignment horizontal="right" vertical="top" wrapText="1"/>
    </xf>
    <xf numFmtId="177" fontId="6" fillId="0" borderId="0" xfId="54" applyFont="1" applyAlignment="1">
      <alignment horizontal="right" vertical="top" wrapText="1"/>
      <protection/>
    </xf>
    <xf numFmtId="0" fontId="7" fillId="0" borderId="0" xfId="0" applyFont="1" applyAlignment="1">
      <alignment horizontal="right" vertical="top" wrapText="1"/>
    </xf>
    <xf numFmtId="17" fontId="1" fillId="0" borderId="0" xfId="54" applyNumberFormat="1" applyFont="1" applyAlignment="1">
      <alignment vertical="top" wrapText="1"/>
      <protection/>
    </xf>
    <xf numFmtId="0" fontId="11" fillId="0" borderId="0" xfId="0" applyFont="1" applyAlignment="1">
      <alignment vertical="top" wrapText="1"/>
    </xf>
    <xf numFmtId="0" fontId="10" fillId="0" borderId="0" xfId="0" applyFont="1" applyAlignment="1">
      <alignment vertical="top" wrapText="1"/>
    </xf>
    <xf numFmtId="0" fontId="31"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xf>
    <xf numFmtId="0" fontId="31" fillId="0" borderId="0" xfId="0" applyFont="1" applyAlignment="1">
      <alignment horizontal="center" vertical="center" wrapText="1"/>
    </xf>
    <xf numFmtId="0" fontId="10" fillId="0" borderId="0" xfId="0" applyFont="1" applyAlignment="1">
      <alignment horizontal="center" vertical="center" wrapText="1"/>
    </xf>
    <xf numFmtId="0" fontId="32" fillId="0" borderId="0" xfId="0" applyFont="1" applyAlignment="1">
      <alignment/>
    </xf>
    <xf numFmtId="0" fontId="11"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3" fontId="10" fillId="0" borderId="0" xfId="0" applyNumberFormat="1" applyFont="1" applyAlignment="1">
      <alignment/>
    </xf>
    <xf numFmtId="0" fontId="10" fillId="0" borderId="10" xfId="0" applyFont="1" applyBorder="1" applyAlignment="1">
      <alignment/>
    </xf>
    <xf numFmtId="0" fontId="32" fillId="0" borderId="0" xfId="0" applyFont="1" applyAlignment="1">
      <alignment horizontal="center"/>
    </xf>
    <xf numFmtId="166" fontId="32" fillId="0" borderId="0" xfId="0" applyNumberFormat="1" applyFont="1" applyAlignment="1">
      <alignment/>
    </xf>
    <xf numFmtId="0" fontId="10" fillId="0" borderId="11" xfId="0" applyFont="1" applyBorder="1" applyAlignment="1">
      <alignment/>
    </xf>
    <xf numFmtId="177" fontId="11" fillId="0" borderId="0" xfId="0" applyNumberFormat="1" applyFont="1" applyAlignment="1">
      <alignment/>
    </xf>
    <xf numFmtId="0" fontId="10" fillId="0" borderId="0" xfId="0" applyFont="1" applyBorder="1" applyAlignment="1">
      <alignment/>
    </xf>
    <xf numFmtId="177" fontId="10" fillId="0" borderId="0" xfId="0" applyNumberFormat="1" applyFont="1" applyAlignment="1">
      <alignment/>
    </xf>
    <xf numFmtId="177" fontId="32" fillId="0" borderId="0" xfId="0" applyNumberFormat="1" applyFont="1" applyAlignment="1">
      <alignment/>
    </xf>
    <xf numFmtId="166" fontId="10" fillId="0" borderId="0" xfId="0" applyNumberFormat="1" applyFont="1" applyAlignment="1">
      <alignment/>
    </xf>
    <xf numFmtId="166" fontId="11" fillId="0" borderId="0" xfId="0" applyNumberFormat="1" applyFont="1" applyAlignment="1">
      <alignment/>
    </xf>
    <xf numFmtId="3" fontId="10" fillId="0" borderId="0" xfId="0" applyNumberFormat="1" applyFont="1" applyAlignment="1">
      <alignment horizontal="center"/>
    </xf>
    <xf numFmtId="3" fontId="32" fillId="0" borderId="0" xfId="0" applyNumberFormat="1" applyFont="1" applyAlignment="1">
      <alignment horizontal="center"/>
    </xf>
    <xf numFmtId="0" fontId="33" fillId="0" borderId="0" xfId="0" applyFont="1" applyAlignment="1">
      <alignment horizontal="right"/>
    </xf>
    <xf numFmtId="0" fontId="33" fillId="0" borderId="0" xfId="0" applyFont="1" applyAlignment="1">
      <alignment horizontal="center"/>
    </xf>
    <xf numFmtId="0" fontId="10" fillId="0" borderId="0" xfId="0" applyFont="1" applyAlignment="1">
      <alignment horizontal="right"/>
    </xf>
    <xf numFmtId="177" fontId="10" fillId="0" borderId="0" xfId="0" applyNumberFormat="1" applyFont="1" applyAlignment="1">
      <alignment horizontal="center"/>
    </xf>
    <xf numFmtId="2" fontId="10" fillId="0" borderId="0" xfId="0" applyNumberFormat="1" applyFont="1" applyAlignment="1">
      <alignment/>
    </xf>
    <xf numFmtId="173" fontId="10" fillId="0" borderId="0" xfId="0" applyNumberFormat="1" applyFont="1" applyAlignment="1">
      <alignment/>
    </xf>
    <xf numFmtId="177" fontId="32" fillId="0" borderId="0" xfId="0" applyNumberFormat="1" applyFont="1" applyAlignment="1">
      <alignment horizontal="center"/>
    </xf>
    <xf numFmtId="2" fontId="32" fillId="0" borderId="0" xfId="0" applyNumberFormat="1" applyFont="1" applyAlignment="1">
      <alignment/>
    </xf>
    <xf numFmtId="173" fontId="32" fillId="0" borderId="0" xfId="0" applyNumberFormat="1" applyFont="1" applyAlignment="1">
      <alignment/>
    </xf>
    <xf numFmtId="0" fontId="11" fillId="0" borderId="0" xfId="0" applyFont="1" applyAlignment="1">
      <alignment horizontal="right"/>
    </xf>
    <xf numFmtId="177" fontId="11" fillId="0" borderId="0" xfId="0" applyNumberFormat="1" applyFont="1" applyAlignment="1">
      <alignment horizontal="center"/>
    </xf>
    <xf numFmtId="2" fontId="11" fillId="0" borderId="0" xfId="0" applyNumberFormat="1" applyFont="1" applyAlignment="1">
      <alignment/>
    </xf>
    <xf numFmtId="173" fontId="11" fillId="0" borderId="0" xfId="0" applyNumberFormat="1" applyFont="1" applyAlignment="1">
      <alignment/>
    </xf>
    <xf numFmtId="193" fontId="10" fillId="0" borderId="0" xfId="0" applyNumberFormat="1" applyFont="1" applyAlignment="1">
      <alignment/>
    </xf>
    <xf numFmtId="164" fontId="10" fillId="0" borderId="0" xfId="0" applyNumberFormat="1" applyFont="1" applyAlignment="1">
      <alignment/>
    </xf>
    <xf numFmtId="3" fontId="32" fillId="0" borderId="0" xfId="0" applyNumberFormat="1" applyFont="1" applyAlignment="1">
      <alignment/>
    </xf>
    <xf numFmtId="1" fontId="10" fillId="0" borderId="0" xfId="0" applyNumberFormat="1" applyFont="1" applyAlignment="1">
      <alignment/>
    </xf>
    <xf numFmtId="193" fontId="32" fillId="0" borderId="0" xfId="0" applyNumberFormat="1" applyFont="1" applyAlignment="1">
      <alignment/>
    </xf>
    <xf numFmtId="166" fontId="11" fillId="0" borderId="0" xfId="0" applyNumberFormat="1" applyFont="1" applyAlignment="1">
      <alignment horizontal="center"/>
    </xf>
    <xf numFmtId="0" fontId="33" fillId="0" borderId="0" xfId="0" applyFont="1" applyAlignment="1">
      <alignment/>
    </xf>
    <xf numFmtId="166" fontId="10" fillId="0" borderId="0" xfId="0" applyNumberFormat="1" applyFont="1" applyAlignment="1">
      <alignment horizontal="center"/>
    </xf>
    <xf numFmtId="166" fontId="32" fillId="0" borderId="0" xfId="0" applyNumberFormat="1" applyFont="1" applyAlignment="1">
      <alignment horizontal="center"/>
    </xf>
    <xf numFmtId="179" fontId="10" fillId="0" borderId="0" xfId="0" applyNumberFormat="1" applyFont="1" applyAlignment="1">
      <alignment/>
    </xf>
    <xf numFmtId="175" fontId="10" fillId="0" borderId="0" xfId="0" applyNumberFormat="1" applyFont="1" applyAlignment="1">
      <alignment/>
    </xf>
    <xf numFmtId="0" fontId="34" fillId="0" borderId="0" xfId="0" applyFont="1" applyAlignment="1">
      <alignment/>
    </xf>
    <xf numFmtId="0" fontId="34" fillId="0" borderId="0" xfId="0" applyFont="1" applyAlignment="1" applyProtection="1">
      <alignment/>
      <protection/>
    </xf>
    <xf numFmtId="0" fontId="35" fillId="0" borderId="0" xfId="0" applyFont="1" applyAlignment="1" applyProtection="1">
      <alignment horizontal="center"/>
      <protection/>
    </xf>
    <xf numFmtId="0" fontId="35" fillId="0" borderId="0" xfId="0" applyFont="1" applyAlignment="1" applyProtection="1">
      <alignment/>
      <protection/>
    </xf>
    <xf numFmtId="0" fontId="36" fillId="0" borderId="0" xfId="0" applyFont="1" applyAlignment="1" applyProtection="1">
      <alignment horizontal="center"/>
      <protection/>
    </xf>
    <xf numFmtId="0" fontId="10" fillId="0" borderId="0" xfId="0" applyFont="1" applyAlignment="1" applyProtection="1">
      <alignment/>
      <protection/>
    </xf>
    <xf numFmtId="0" fontId="10" fillId="0" borderId="0" xfId="0" applyFont="1" applyFill="1" applyAlignment="1" applyProtection="1">
      <alignment/>
      <protection/>
    </xf>
    <xf numFmtId="0" fontId="38" fillId="0" borderId="0" xfId="0" applyFont="1" applyAlignment="1" applyProtection="1">
      <alignment/>
      <protection/>
    </xf>
    <xf numFmtId="0" fontId="38" fillId="0" borderId="0" xfId="0" applyFont="1" applyAlignment="1">
      <alignment/>
    </xf>
    <xf numFmtId="0" fontId="31" fillId="0" borderId="0" xfId="0" applyFont="1" applyFill="1" applyBorder="1" applyAlignment="1" applyProtection="1">
      <alignment horizontal="center"/>
      <protection/>
    </xf>
    <xf numFmtId="0" fontId="10" fillId="0" borderId="0" xfId="0" applyFont="1" applyAlignment="1">
      <alignment horizontal="center"/>
    </xf>
    <xf numFmtId="0" fontId="39" fillId="0" borderId="0" xfId="0" applyFont="1" applyFill="1" applyAlignment="1" applyProtection="1">
      <alignment/>
      <protection/>
    </xf>
    <xf numFmtId="0" fontId="11" fillId="0" borderId="0" xfId="0" applyFont="1" applyAlignment="1" applyProtection="1">
      <alignment horizontal="center"/>
      <protection/>
    </xf>
    <xf numFmtId="0" fontId="11"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1" fillId="0" borderId="0" xfId="0" applyFont="1" applyAlignment="1" applyProtection="1">
      <alignment/>
      <protection/>
    </xf>
    <xf numFmtId="0" fontId="33" fillId="0" borderId="0" xfId="0" applyFont="1" applyAlignment="1" applyProtection="1">
      <alignment horizontal="center"/>
      <protection/>
    </xf>
    <xf numFmtId="0" fontId="33" fillId="0" borderId="0" xfId="0" applyNumberFormat="1" applyFont="1" applyAlignment="1" applyProtection="1">
      <alignment horizontal="center"/>
      <protection/>
    </xf>
    <xf numFmtId="177" fontId="10" fillId="0" borderId="0" xfId="0" applyNumberFormat="1" applyFont="1" applyBorder="1" applyAlignment="1">
      <alignment/>
    </xf>
    <xf numFmtId="219" fontId="10" fillId="0" borderId="0" xfId="0" applyNumberFormat="1" applyFont="1" applyAlignment="1">
      <alignment/>
    </xf>
    <xf numFmtId="0" fontId="10" fillId="0" borderId="10" xfId="0" applyFont="1" applyBorder="1" applyAlignment="1" applyProtection="1">
      <alignment/>
      <protection/>
    </xf>
    <xf numFmtId="166" fontId="10" fillId="0" borderId="0" xfId="0" applyNumberFormat="1" applyFont="1" applyBorder="1" applyAlignment="1">
      <alignment/>
    </xf>
    <xf numFmtId="0" fontId="10" fillId="0" borderId="11" xfId="0" applyFont="1" applyBorder="1" applyAlignment="1" applyProtection="1">
      <alignment/>
      <protection/>
    </xf>
    <xf numFmtId="177" fontId="32" fillId="0" borderId="0" xfId="0" applyNumberFormat="1" applyFont="1" applyBorder="1" applyAlignment="1">
      <alignment/>
    </xf>
    <xf numFmtId="219" fontId="32" fillId="0" borderId="0" xfId="0" applyNumberFormat="1" applyFont="1" applyAlignment="1">
      <alignment/>
    </xf>
    <xf numFmtId="177" fontId="10" fillId="0" borderId="0" xfId="0" applyNumberFormat="1" applyFont="1" applyAlignment="1" applyProtection="1">
      <alignment/>
      <protection/>
    </xf>
    <xf numFmtId="177" fontId="10" fillId="0" borderId="0" xfId="0" applyNumberFormat="1" applyFont="1" applyBorder="1" applyAlignment="1" applyProtection="1">
      <alignment/>
      <protection/>
    </xf>
    <xf numFmtId="176" fontId="10" fillId="0" borderId="0" xfId="0" applyNumberFormat="1" applyFont="1" applyBorder="1" applyAlignment="1" applyProtection="1">
      <alignment/>
      <protection/>
    </xf>
    <xf numFmtId="176" fontId="32" fillId="0" borderId="0" xfId="0" applyNumberFormat="1" applyFont="1" applyAlignment="1">
      <alignment/>
    </xf>
    <xf numFmtId="177" fontId="11" fillId="0" borderId="0" xfId="0" applyNumberFormat="1" applyFont="1" applyBorder="1" applyAlignment="1">
      <alignment/>
    </xf>
    <xf numFmtId="176" fontId="11" fillId="0" borderId="0" xfId="0" applyNumberFormat="1" applyFont="1" applyAlignment="1" applyProtection="1">
      <alignment/>
      <protection/>
    </xf>
    <xf numFmtId="177" fontId="11" fillId="0" borderId="0" xfId="0" applyNumberFormat="1" applyFont="1" applyAlignment="1" applyProtection="1">
      <alignment/>
      <protection/>
    </xf>
    <xf numFmtId="0" fontId="10" fillId="0" borderId="0" xfId="0" applyFont="1" applyBorder="1" applyAlignment="1" applyProtection="1">
      <alignment/>
      <protection/>
    </xf>
    <xf numFmtId="0" fontId="11" fillId="0" borderId="0" xfId="0" applyFont="1" applyAlignment="1" applyProtection="1">
      <alignment horizontal="left"/>
      <protection/>
    </xf>
    <xf numFmtId="176" fontId="10" fillId="0" borderId="0" xfId="0" applyNumberFormat="1" applyFont="1" applyAlignment="1">
      <alignment/>
    </xf>
    <xf numFmtId="177" fontId="32" fillId="0" borderId="0" xfId="0" applyNumberFormat="1" applyFont="1" applyAlignment="1" applyProtection="1">
      <alignment/>
      <protection/>
    </xf>
    <xf numFmtId="177" fontId="32" fillId="0" borderId="0" xfId="0" applyNumberFormat="1" applyFont="1" applyBorder="1" applyAlignment="1" applyProtection="1">
      <alignment/>
      <protection/>
    </xf>
    <xf numFmtId="177" fontId="11" fillId="0" borderId="0" xfId="0" applyNumberFormat="1" applyFont="1" applyBorder="1" applyAlignment="1" applyProtection="1">
      <alignment/>
      <protection/>
    </xf>
    <xf numFmtId="176" fontId="11" fillId="0" borderId="0" xfId="42" applyNumberFormat="1" applyFont="1">
      <alignment horizontal="right" vertical="justify"/>
      <protection/>
    </xf>
    <xf numFmtId="177" fontId="11" fillId="0" borderId="0" xfId="42" applyNumberFormat="1" applyFont="1">
      <alignment horizontal="right" vertical="justify"/>
      <protection/>
    </xf>
    <xf numFmtId="176" fontId="11" fillId="0" borderId="0" xfId="0" applyNumberFormat="1" applyFont="1" applyAlignment="1">
      <alignment/>
    </xf>
    <xf numFmtId="0" fontId="11" fillId="0" borderId="0" xfId="0" applyFont="1" applyBorder="1" applyAlignment="1">
      <alignment vertical="top" wrapText="1"/>
    </xf>
    <xf numFmtId="0" fontId="10" fillId="0" borderId="0" xfId="0" applyFont="1" applyAlignment="1">
      <alignment vertical="top"/>
    </xf>
    <xf numFmtId="0" fontId="34" fillId="0" borderId="0" xfId="0" applyFont="1" applyAlignment="1">
      <alignment horizontal="center" vertical="top" wrapText="1"/>
    </xf>
    <xf numFmtId="3" fontId="42" fillId="0" borderId="0" xfId="0" applyNumberFormat="1" applyFont="1" applyAlignment="1" applyProtection="1">
      <alignment/>
      <protection locked="0"/>
    </xf>
    <xf numFmtId="166" fontId="42" fillId="0" borderId="0" xfId="0" applyNumberFormat="1" applyFont="1" applyAlignment="1" applyProtection="1">
      <alignment/>
      <protection locked="0"/>
    </xf>
    <xf numFmtId="177" fontId="42" fillId="0" borderId="0" xfId="0" applyNumberFormat="1" applyFont="1" applyAlignment="1" applyProtection="1">
      <alignment/>
      <protection/>
    </xf>
    <xf numFmtId="193" fontId="42" fillId="0" borderId="0" xfId="0" applyNumberFormat="1" applyFont="1" applyAlignment="1" applyProtection="1">
      <alignment/>
      <protection locked="0"/>
    </xf>
    <xf numFmtId="0" fontId="36" fillId="0" borderId="0" xfId="0" applyFont="1" applyAlignment="1">
      <alignment horizontal="center" vertical="top" wrapText="1"/>
    </xf>
    <xf numFmtId="0" fontId="36" fillId="0" borderId="0" xfId="0" applyFont="1" applyAlignment="1">
      <alignment/>
    </xf>
    <xf numFmtId="0" fontId="36" fillId="0" borderId="0" xfId="0" applyFont="1" applyAlignment="1">
      <alignment horizontal="center"/>
    </xf>
    <xf numFmtId="0" fontId="36" fillId="0" borderId="0" xfId="0" applyFont="1" applyAlignment="1" applyProtection="1">
      <alignment horizontal="right"/>
      <protection/>
    </xf>
    <xf numFmtId="0" fontId="36" fillId="0" borderId="0" xfId="0" applyFont="1" applyAlignment="1" applyProtection="1">
      <alignment/>
      <protection/>
    </xf>
    <xf numFmtId="0" fontId="42" fillId="0" borderId="0" xfId="0" applyFont="1" applyAlignment="1" applyProtection="1">
      <alignment/>
      <protection locked="0"/>
    </xf>
    <xf numFmtId="0" fontId="35" fillId="0" borderId="0" xfId="0" applyFont="1" applyAlignment="1">
      <alignment/>
    </xf>
    <xf numFmtId="0" fontId="42" fillId="0" borderId="0" xfId="0" applyFont="1" applyAlignment="1">
      <alignment/>
    </xf>
    <xf numFmtId="0" fontId="34" fillId="0" borderId="0" xfId="0" applyFont="1" applyAlignment="1">
      <alignment horizontal="center" vertical="top"/>
    </xf>
    <xf numFmtId="166" fontId="42" fillId="0" borderId="0" xfId="0" applyNumberFormat="1" applyFont="1" applyFill="1" applyAlignment="1" applyProtection="1">
      <alignment/>
      <protection locked="0"/>
    </xf>
    <xf numFmtId="177" fontId="42" fillId="0" borderId="0" xfId="0" applyNumberFormat="1" applyFont="1" applyAlignment="1" applyProtection="1">
      <alignment/>
      <protection locked="0"/>
    </xf>
    <xf numFmtId="0" fontId="34" fillId="0" borderId="0" xfId="0" applyFont="1" applyAlignment="1" applyProtection="1">
      <alignment/>
      <protection locked="0"/>
    </xf>
    <xf numFmtId="0" fontId="34" fillId="0" borderId="0" xfId="0" applyFont="1" applyFill="1" applyAlignment="1">
      <alignment/>
    </xf>
    <xf numFmtId="177" fontId="42" fillId="0" borderId="0" xfId="0" applyNumberFormat="1" applyFont="1" applyFill="1" applyAlignment="1" applyProtection="1">
      <alignment/>
      <protection locked="0"/>
    </xf>
    <xf numFmtId="0" fontId="42" fillId="0" borderId="0" xfId="0" applyFont="1" applyFill="1" applyAlignment="1" applyProtection="1">
      <alignment/>
      <protection locked="0"/>
    </xf>
    <xf numFmtId="0" fontId="36" fillId="0" borderId="0" xfId="0" applyFont="1" applyAlignment="1" applyProtection="1">
      <alignment horizontal="left"/>
      <protection/>
    </xf>
    <xf numFmtId="166" fontId="34" fillId="0" borderId="0" xfId="0" applyNumberFormat="1" applyFont="1" applyFill="1" applyAlignment="1" applyProtection="1">
      <alignment/>
      <protection locked="0"/>
    </xf>
    <xf numFmtId="177" fontId="42" fillId="0" borderId="0" xfId="0" applyNumberFormat="1" applyFont="1" applyFill="1" applyAlignment="1">
      <alignment/>
    </xf>
    <xf numFmtId="0" fontId="42" fillId="0" borderId="0" xfId="0" applyFont="1" applyFill="1" applyAlignment="1">
      <alignment/>
    </xf>
    <xf numFmtId="177" fontId="42" fillId="0" borderId="0" xfId="0" applyNumberFormat="1" applyFont="1" applyAlignment="1">
      <alignment/>
    </xf>
    <xf numFmtId="4" fontId="42" fillId="0" borderId="0" xfId="0" applyNumberFormat="1" applyFont="1" applyFill="1" applyAlignment="1" applyProtection="1">
      <alignment/>
      <protection locked="0"/>
    </xf>
    <xf numFmtId="0" fontId="34" fillId="0" borderId="0" xfId="0" applyFont="1" applyFill="1" applyAlignment="1" applyProtection="1">
      <alignment/>
      <protection locked="0"/>
    </xf>
    <xf numFmtId="179" fontId="42" fillId="0" borderId="0" xfId="0" applyNumberFormat="1" applyFont="1" applyAlignment="1">
      <alignment/>
    </xf>
    <xf numFmtId="179" fontId="35" fillId="0" borderId="0" xfId="0" applyNumberFormat="1" applyFont="1" applyAlignment="1">
      <alignment/>
    </xf>
    <xf numFmtId="179" fontId="43" fillId="0" borderId="0" xfId="0" applyNumberFormat="1" applyFont="1" applyAlignment="1">
      <alignment/>
    </xf>
    <xf numFmtId="179" fontId="36" fillId="0" borderId="0" xfId="0" applyNumberFormat="1" applyFont="1" applyAlignment="1">
      <alignment/>
    </xf>
    <xf numFmtId="0" fontId="36" fillId="0" borderId="0" xfId="0" applyFont="1" applyAlignment="1">
      <alignment horizontal="right"/>
    </xf>
    <xf numFmtId="0" fontId="34" fillId="0" borderId="0" xfId="0" applyFont="1" applyAlignment="1" applyProtection="1">
      <alignment horizontal="left"/>
      <protection/>
    </xf>
    <xf numFmtId="177" fontId="42" fillId="0" borderId="0" xfId="0" applyNumberFormat="1" applyFont="1" applyFill="1" applyAlignment="1" applyProtection="1">
      <alignment/>
      <protection/>
    </xf>
    <xf numFmtId="0" fontId="37" fillId="0" borderId="0" xfId="0" applyFont="1" applyAlignment="1" applyProtection="1">
      <alignment/>
      <protection/>
    </xf>
    <xf numFmtId="166" fontId="35" fillId="0" borderId="0" xfId="0" applyNumberFormat="1" applyFont="1" applyAlignment="1" applyProtection="1">
      <alignment horizontal="center"/>
      <protection/>
    </xf>
    <xf numFmtId="179" fontId="42" fillId="0" borderId="0" xfId="0" applyNumberFormat="1" applyFont="1" applyAlignment="1" applyProtection="1">
      <alignment/>
      <protection locked="0"/>
    </xf>
    <xf numFmtId="0" fontId="31" fillId="0" borderId="0" xfId="0" applyFont="1" applyAlignment="1">
      <alignment horizontal="center"/>
    </xf>
    <xf numFmtId="216" fontId="10" fillId="0" borderId="0" xfId="0" applyNumberFormat="1" applyFont="1" applyAlignment="1">
      <alignment/>
    </xf>
    <xf numFmtId="189" fontId="32" fillId="0" borderId="0" xfId="0" applyNumberFormat="1" applyFont="1" applyAlignment="1">
      <alignment/>
    </xf>
    <xf numFmtId="0" fontId="31" fillId="0" borderId="0" xfId="0" applyFont="1" applyAlignment="1" applyProtection="1">
      <alignment horizontal="center" vertical="top" wrapText="1"/>
      <protection/>
    </xf>
    <xf numFmtId="0" fontId="10" fillId="0" borderId="0" xfId="0" applyFont="1" applyAlignment="1">
      <alignment horizontal="center" vertical="top" wrapText="1"/>
    </xf>
    <xf numFmtId="0" fontId="10" fillId="0" borderId="0" xfId="0" applyFont="1" applyAlignment="1" applyProtection="1">
      <alignment horizontal="center" vertical="top"/>
      <protection/>
    </xf>
    <xf numFmtId="3" fontId="4" fillId="0" borderId="0" xfId="0" applyNumberFormat="1" applyFont="1" applyAlignment="1" applyProtection="1">
      <alignment/>
      <protection locked="0"/>
    </xf>
    <xf numFmtId="0" fontId="4" fillId="0" borderId="0" xfId="0" applyFont="1" applyAlignment="1" applyProtection="1">
      <alignment/>
      <protection/>
    </xf>
    <xf numFmtId="164" fontId="4" fillId="0" borderId="0" xfId="0" applyNumberFormat="1" applyFont="1" applyAlignment="1" applyProtection="1">
      <alignment/>
      <protection locked="0"/>
    </xf>
    <xf numFmtId="166" fontId="4" fillId="0" borderId="0" xfId="0" applyNumberFormat="1" applyFont="1" applyAlignment="1" applyProtection="1">
      <alignment/>
      <protection locked="0"/>
    </xf>
    <xf numFmtId="3" fontId="4" fillId="0" borderId="0" xfId="0" applyNumberFormat="1" applyFont="1" applyAlignment="1" applyProtection="1">
      <alignment/>
      <protection/>
    </xf>
    <xf numFmtId="177" fontId="4" fillId="0" borderId="0" xfId="0" applyNumberFormat="1" applyFont="1" applyAlignment="1" applyProtection="1">
      <alignment/>
      <protection/>
    </xf>
    <xf numFmtId="193" fontId="4" fillId="0" borderId="0" xfId="0" applyNumberFormat="1" applyFont="1" applyAlignment="1" applyProtection="1">
      <alignment/>
      <protection locked="0"/>
    </xf>
    <xf numFmtId="0" fontId="33" fillId="0" borderId="0" xfId="0" applyFont="1" applyAlignment="1" applyProtection="1">
      <alignment horizontal="center" vertical="top" wrapText="1"/>
      <protection/>
    </xf>
    <xf numFmtId="0" fontId="33" fillId="0" borderId="0" xfId="0" applyFont="1" applyAlignment="1">
      <alignment horizontal="center" vertical="top" wrapText="1"/>
    </xf>
    <xf numFmtId="0" fontId="33" fillId="0" borderId="0" xfId="0" applyFont="1" applyAlignment="1" applyProtection="1">
      <alignment horizontal="center" vertical="center" wrapText="1"/>
      <protection/>
    </xf>
    <xf numFmtId="0" fontId="10" fillId="0" borderId="0" xfId="0" applyFont="1" applyAlignment="1" applyProtection="1">
      <alignment horizontal="center"/>
      <protection locked="0"/>
    </xf>
    <xf numFmtId="0" fontId="4" fillId="0" borderId="0" xfId="0" applyFont="1" applyAlignment="1" applyProtection="1">
      <alignment horizontal="center"/>
      <protection locked="0"/>
    </xf>
    <xf numFmtId="3" fontId="4" fillId="0" borderId="0" xfId="0" applyNumberFormat="1" applyFont="1" applyAlignment="1" applyProtection="1">
      <alignment horizontal="center"/>
      <protection locked="0"/>
    </xf>
    <xf numFmtId="3" fontId="46" fillId="0" borderId="0" xfId="0" applyNumberFormat="1" applyFont="1" applyAlignment="1" applyProtection="1">
      <alignment horizontal="center"/>
      <protection locked="0"/>
    </xf>
    <xf numFmtId="0" fontId="11" fillId="0" borderId="0" xfId="0" applyFont="1" applyAlignment="1" applyProtection="1">
      <alignment horizontal="right"/>
      <protection/>
    </xf>
    <xf numFmtId="3" fontId="11" fillId="0" borderId="0" xfId="0" applyNumberFormat="1" applyFont="1" applyAlignment="1" applyProtection="1">
      <alignment horizontal="center"/>
      <protection/>
    </xf>
    <xf numFmtId="3" fontId="11" fillId="0" borderId="0" xfId="0" applyNumberFormat="1" applyFont="1" applyAlignment="1">
      <alignment horizontal="center" vertical="top"/>
    </xf>
    <xf numFmtId="4" fontId="10" fillId="0" borderId="0" xfId="0" applyNumberFormat="1" applyFont="1" applyAlignment="1">
      <alignment vertical="top"/>
    </xf>
    <xf numFmtId="0" fontId="33" fillId="0" borderId="0" xfId="0" applyFont="1" applyAlignment="1" applyProtection="1">
      <alignment horizontal="center" vertical="top"/>
      <protection/>
    </xf>
    <xf numFmtId="0" fontId="33" fillId="0" borderId="0" xfId="0" applyFont="1" applyAlignment="1" applyProtection="1">
      <alignment horizontal="right"/>
      <protection/>
    </xf>
    <xf numFmtId="0" fontId="33" fillId="0" borderId="0" xfId="0" applyFont="1" applyAlignment="1" applyProtection="1">
      <alignment/>
      <protection/>
    </xf>
    <xf numFmtId="164" fontId="11" fillId="0" borderId="0" xfId="0" applyNumberFormat="1" applyFont="1" applyAlignment="1" applyProtection="1">
      <alignment/>
      <protection/>
    </xf>
    <xf numFmtId="164" fontId="11" fillId="0" borderId="0" xfId="0" applyNumberFormat="1" applyFont="1" applyAlignment="1">
      <alignment horizontal="right"/>
    </xf>
    <xf numFmtId="9" fontId="4" fillId="0" borderId="0" xfId="0" applyNumberFormat="1" applyFont="1" applyAlignment="1" applyProtection="1">
      <alignment/>
      <protection locked="0"/>
    </xf>
    <xf numFmtId="0" fontId="4" fillId="0" borderId="0" xfId="0" applyFont="1" applyAlignment="1" applyProtection="1">
      <alignment horizontal="right"/>
      <protection locked="0"/>
    </xf>
    <xf numFmtId="189" fontId="4" fillId="0" borderId="0" xfId="0" applyNumberFormat="1" applyFont="1" applyAlignment="1" applyProtection="1">
      <alignment/>
      <protection locked="0"/>
    </xf>
    <xf numFmtId="0" fontId="4" fillId="0" borderId="0" xfId="0" applyFont="1" applyAlignment="1" applyProtection="1">
      <alignment/>
      <protection locked="0"/>
    </xf>
    <xf numFmtId="189" fontId="46" fillId="0" borderId="0" xfId="0" applyNumberFormat="1" applyFont="1" applyAlignment="1" applyProtection="1">
      <alignment/>
      <protection locked="0"/>
    </xf>
    <xf numFmtId="164" fontId="33" fillId="0" borderId="0" xfId="0" applyNumberFormat="1" applyFont="1" applyAlignment="1" applyProtection="1">
      <alignment/>
      <protection/>
    </xf>
    <xf numFmtId="0" fontId="46" fillId="0" borderId="0" xfId="0" applyFont="1" applyAlignment="1" applyProtection="1">
      <alignment/>
      <protection/>
    </xf>
    <xf numFmtId="9" fontId="46" fillId="0" borderId="0" xfId="0" applyNumberFormat="1" applyFont="1" applyAlignment="1" applyProtection="1">
      <alignment/>
      <protection locked="0"/>
    </xf>
    <xf numFmtId="189" fontId="11" fillId="0" borderId="0" xfId="0" applyNumberFormat="1" applyFont="1" applyAlignment="1">
      <alignment/>
    </xf>
    <xf numFmtId="9" fontId="11" fillId="0" borderId="0" xfId="0" applyNumberFormat="1" applyFont="1" applyAlignment="1">
      <alignment/>
    </xf>
    <xf numFmtId="189" fontId="4" fillId="0" borderId="0" xfId="0" applyNumberFormat="1" applyFont="1" applyAlignment="1">
      <alignment/>
    </xf>
    <xf numFmtId="0" fontId="4" fillId="0" borderId="0" xfId="0" applyFont="1" applyAlignment="1">
      <alignment/>
    </xf>
    <xf numFmtId="189" fontId="46" fillId="0" borderId="0" xfId="0" applyNumberFormat="1" applyFont="1" applyAlignment="1">
      <alignment/>
    </xf>
    <xf numFmtId="0" fontId="46" fillId="0" borderId="0" xfId="0" applyFont="1" applyAlignment="1">
      <alignment/>
    </xf>
    <xf numFmtId="164" fontId="11" fillId="0" borderId="0" xfId="0" applyNumberFormat="1" applyFont="1" applyAlignment="1">
      <alignment/>
    </xf>
    <xf numFmtId="0" fontId="11" fillId="0" borderId="0" xfId="0" applyFont="1" applyAlignment="1" applyProtection="1">
      <alignment/>
      <protection locked="0"/>
    </xf>
    <xf numFmtId="164" fontId="33" fillId="0" borderId="0" xfId="0" applyNumberFormat="1" applyFont="1" applyAlignment="1">
      <alignment/>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urrency"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_Farrow-Wean 500" xfId="54"/>
    <cellStyle name="Note" xfId="55"/>
    <cellStyle name="Output" xfId="56"/>
    <cellStyle name="Title" xfId="57"/>
    <cellStyle name="Total" xfId="58"/>
    <cellStyle name="Warning Text"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xdr:row>
      <xdr:rowOff>114300</xdr:rowOff>
    </xdr:from>
    <xdr:to>
      <xdr:col>8</xdr:col>
      <xdr:colOff>19050</xdr:colOff>
      <xdr:row>40</xdr:row>
      <xdr:rowOff>152400</xdr:rowOff>
    </xdr:to>
    <xdr:sp>
      <xdr:nvSpPr>
        <xdr:cNvPr id="1" name="Text Box 4"/>
        <xdr:cNvSpPr txBox="1">
          <a:spLocks noChangeArrowheads="1"/>
        </xdr:cNvSpPr>
      </xdr:nvSpPr>
      <xdr:spPr>
        <a:xfrm>
          <a:off x="142875" y="1819275"/>
          <a:ext cx="5857875" cy="6591300"/>
        </a:xfrm>
        <a:prstGeom prst="rect">
          <a:avLst/>
        </a:prstGeom>
        <a:noFill/>
        <a:ln w="9525" cmpd="sng">
          <a:noFill/>
        </a:ln>
      </xdr:spPr>
      <xdr:txBody>
        <a:bodyPr vertOverflow="clip" wrap="square" lIns="36576" tIns="22860" rIns="0" bIns="0"/>
        <a:p>
          <a:pPr algn="l">
            <a:defRPr/>
          </a:pPr>
          <a:r>
            <a:rPr lang="en-US" cap="none" sz="1050" b="0" i="0" u="none" baseline="0">
              <a:solidFill>
                <a:srgbClr val="000000"/>
              </a:solidFill>
              <a:latin typeface="Arial"/>
              <a:ea typeface="Arial"/>
              <a:cs typeface="Arial"/>
            </a:rPr>
            <a:t>The projected seabuckthorn berry production costs in this publication have been prepared to assist you in developing your own production costs.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The capital and cash input costs associated with growing seabuckthorn berries in Manitoba are substantial. Detailed planning is necessary when budgeting for capital expenditures and also for the annual operating costs. The importance of good financial planning is evident by noting the capital required for 5 acres of seabuckthorn berries may be in the vicinity of $65,000.  Cash costs of establishing the crop run about  $16,000 in the four years prior to picking before income begins to flow.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The budget should be used as a guide only as each situation may have higher or lower costs than those listed. Costs and yields on each farm differ due to soil type, climatic conditions and agronomic practices. Therefore, producers are encouraged to substitute their own figures in the attached budget to develop their own cost of production for saskatoon berry production.
</a:t>
          </a:r>
          <a:r>
            <a:rPr lang="en-US" cap="none" sz="105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Disclaimer</a:t>
          </a:r>
          <a:r>
            <a:rPr lang="en-US" cap="none" sz="1050" b="0" i="0" u="none" baseline="0">
              <a:solidFill>
                <a:srgbClr val="000000"/>
              </a:solidFill>
              <a:latin typeface="Arial"/>
              <a:ea typeface="Arial"/>
              <a:cs typeface="Arial"/>
            </a:rPr>
            <a:t>: This budget is only a guide and is not intended as an in depth study of the cost of production of the Manitoba Seabuckthorn Berry industry. Interpretation and utilization of this information is the responsibility of the user. If you require assistance with developing your individual budget, please contact your local MAFRI Farm Business Specialist or Regional Crop Specialist.
</a:t>
          </a:r>
          <a:r>
            <a:rPr lang="en-US" cap="none" sz="105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Industry Overview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The sea buckthorn (Hippophae rhamnoides L.) belongs to the family Elaeagnceae. Sea buckthorn is native to Europe and Asia and was introduced to Canada some time ago. Introduced to Canada as ornamental and shelterbelt shrub. Recently planted in orchards for commercial production across Canada, but mostly on the prairies. The sea buckthorn is a medium deciduous shrub six to 13 feet (2 to 4 m) in height. The trees are dioecious meaning there are male and female plants. Sea buckthorn plants are very hardy and can withstand temperatures of -43 to 40 °C. 
</a:t>
          </a:r>
          <a:r>
            <a:rPr lang="en-US" cap="none" sz="1050" b="0" i="0" u="none" baseline="0">
              <a:solidFill>
                <a:srgbClr val="000000"/>
              </a:solidFill>
              <a:latin typeface="Arial"/>
              <a:ea typeface="Arial"/>
              <a:cs typeface="Arial"/>
            </a:rPr>
            <a:t>Used for centuries in Eurasia for food and medicinal uses. In ancient Greece, sea-buckthorn was known as a remedy for horses, using leaves and young branches in the fodder. Seabuckthorn products were utilized in the diet of Soviet cosmonauts to reduce stresses of extended space missions (skin cream and juice). Seabuckthorn juice is claimed to be the first fruit juice in space.
</a:t>
          </a:r>
          <a:r>
            <a:rPr lang="en-US" cap="none" sz="1050" b="0" i="0" u="none" baseline="0">
              <a:solidFill>
                <a:srgbClr val="000000"/>
              </a:solidFill>
              <a:latin typeface="Arial"/>
              <a:ea typeface="Arial"/>
              <a:cs typeface="Arial"/>
            </a:rPr>
            <a:t>There are two main challenges for the Manitoba Seabuckthorn industry: marketing and harvesting. The early varieties of Seabuckthorn planted on the prairies (Sinesis, Indian Summer) are very difficult to harvest due to the presence of thorns and the tight attachment of the fruit to the stem. A cut-branch harvest method similar to methods used in Quebec and Germany has been tested in Manitoba with success, however a working field model has not been developed to date. Marketing of seabuckthorn has been difficult due to lack of quality buyers, limited domestic market development and lack of processing facilities on the prairies for seabuckthorn. The functional food aspects of this fruit crop are becoming more well known in North America and are increasing consumer knowledge of this fruit.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8"/>
  <dimension ref="B1:H65"/>
  <sheetViews>
    <sheetView showGridLines="0" zoomScalePageLayoutView="0" workbookViewId="0" topLeftCell="A1">
      <selection activeCell="E47" sqref="E47"/>
    </sheetView>
  </sheetViews>
  <sheetFormatPr defaultColWidth="8.88671875" defaultRowHeight="15"/>
  <cols>
    <col min="1" max="1" width="4.6640625" style="1" customWidth="1"/>
    <col min="2" max="2" width="12.88671875" style="1" customWidth="1"/>
    <col min="3" max="3" width="6.88671875" style="1" customWidth="1"/>
    <col min="4" max="7" width="8.88671875" style="1" customWidth="1"/>
    <col min="8" max="8" width="9.77734375" style="1" customWidth="1"/>
    <col min="9" max="16384" width="8.88671875" style="1" customWidth="1"/>
  </cols>
  <sheetData>
    <row r="1" spans="4:8" ht="27" customHeight="1">
      <c r="D1" s="13" t="s">
        <v>78</v>
      </c>
      <c r="E1" s="14"/>
      <c r="F1" s="14"/>
      <c r="G1" s="14"/>
      <c r="H1" s="14"/>
    </row>
    <row r="2" spans="2:8" ht="36" customHeight="1">
      <c r="B2" s="10"/>
      <c r="D2" s="15" t="s">
        <v>186</v>
      </c>
      <c r="E2" s="14"/>
      <c r="F2" s="14"/>
      <c r="G2" s="14"/>
      <c r="H2" s="14"/>
    </row>
    <row r="3" spans="5:8" ht="25.5">
      <c r="E3" s="13" t="s">
        <v>61</v>
      </c>
      <c r="F3" s="16"/>
      <c r="G3" s="16"/>
      <c r="H3" s="16"/>
    </row>
    <row r="4" spans="6:8" ht="15.75">
      <c r="F4" s="9" t="s">
        <v>77</v>
      </c>
      <c r="G4" s="17" t="s">
        <v>187</v>
      </c>
      <c r="H4" s="12"/>
    </row>
    <row r="5" ht="15">
      <c r="B5" s="7"/>
    </row>
    <row r="6" ht="15">
      <c r="B6"/>
    </row>
    <row r="7" ht="15">
      <c r="B7"/>
    </row>
    <row r="8" ht="15">
      <c r="B8"/>
    </row>
    <row r="9" ht="15">
      <c r="B9"/>
    </row>
    <row r="10" ht="15">
      <c r="B10" s="2"/>
    </row>
    <row r="11" ht="15">
      <c r="B11" s="2"/>
    </row>
    <row r="12" ht="15">
      <c r="B12" s="2"/>
    </row>
    <row r="13" ht="15">
      <c r="B13" s="2"/>
    </row>
    <row r="14" ht="15">
      <c r="B14" s="2"/>
    </row>
    <row r="15" ht="15">
      <c r="B15" s="2"/>
    </row>
    <row r="16" ht="15">
      <c r="B16" s="2"/>
    </row>
    <row r="17" ht="15">
      <c r="B17" s="2"/>
    </row>
    <row r="18" ht="15">
      <c r="B18" s="3"/>
    </row>
    <row r="19" ht="15">
      <c r="B19" s="3"/>
    </row>
    <row r="20" ht="15">
      <c r="B20" s="3"/>
    </row>
    <row r="22" ht="15">
      <c r="B22" s="2"/>
    </row>
    <row r="23" ht="15">
      <c r="B23" s="2"/>
    </row>
    <row r="26" ht="15">
      <c r="B26" s="7"/>
    </row>
    <row r="27" ht="15">
      <c r="B27" s="4"/>
    </row>
    <row r="28" spans="2:3" ht="15">
      <c r="B28" s="4"/>
      <c r="C28" s="6"/>
    </row>
    <row r="29" spans="2:3" ht="15">
      <c r="B29" s="4"/>
      <c r="C29" s="6"/>
    </row>
    <row r="30" spans="2:3" ht="15">
      <c r="B30" s="6"/>
      <c r="C30" s="6"/>
    </row>
    <row r="31" spans="2:3" ht="15">
      <c r="B31" s="8"/>
      <c r="C31" s="6"/>
    </row>
    <row r="32" spans="2:3" ht="15">
      <c r="B32" s="4"/>
      <c r="C32" s="6"/>
    </row>
    <row r="33" spans="2:3" ht="15">
      <c r="B33" s="4"/>
      <c r="C33" s="6"/>
    </row>
    <row r="34" spans="2:3" ht="21" customHeight="1">
      <c r="B34" s="4"/>
      <c r="C34" s="6"/>
    </row>
    <row r="35" spans="2:3" ht="15">
      <c r="B35" s="4"/>
      <c r="C35" s="6"/>
    </row>
    <row r="36" spans="2:3" ht="15">
      <c r="B36" s="5"/>
      <c r="C36" s="6"/>
    </row>
    <row r="37" spans="2:8" ht="15">
      <c r="B37" s="11"/>
      <c r="C37" s="12"/>
      <c r="D37" s="12"/>
      <c r="E37" s="12"/>
      <c r="F37" s="12"/>
      <c r="G37" s="12"/>
      <c r="H37" s="12"/>
    </row>
    <row r="38" spans="2:8" ht="15">
      <c r="B38" s="12"/>
      <c r="C38" s="12"/>
      <c r="D38" s="12"/>
      <c r="E38" s="12"/>
      <c r="F38" s="12"/>
      <c r="G38" s="12"/>
      <c r="H38" s="12"/>
    </row>
    <row r="39" spans="2:8" ht="15">
      <c r="B39" s="12"/>
      <c r="C39" s="12"/>
      <c r="D39" s="12"/>
      <c r="E39" s="12"/>
      <c r="F39" s="12"/>
      <c r="G39" s="12"/>
      <c r="H39" s="12"/>
    </row>
    <row r="40" spans="2:8" ht="15">
      <c r="B40" s="12"/>
      <c r="C40" s="12"/>
      <c r="D40" s="12"/>
      <c r="E40" s="12"/>
      <c r="F40" s="12"/>
      <c r="G40" s="12"/>
      <c r="H40" s="12"/>
    </row>
    <row r="41" spans="2:8" ht="15">
      <c r="B41" s="12"/>
      <c r="C41" s="12"/>
      <c r="D41" s="12"/>
      <c r="E41" s="12"/>
      <c r="F41" s="12"/>
      <c r="G41" s="12"/>
      <c r="H41" s="12"/>
    </row>
    <row r="42" spans="2:8" ht="15">
      <c r="B42" s="4"/>
      <c r="C42" s="4"/>
      <c r="D42" s="4"/>
      <c r="E42" s="4"/>
      <c r="F42" s="4"/>
      <c r="G42" s="4"/>
      <c r="H42" s="4"/>
    </row>
    <row r="43" spans="2:8" ht="15">
      <c r="B43" s="5"/>
      <c r="C43" s="4"/>
      <c r="D43" s="4"/>
      <c r="E43" s="4"/>
      <c r="F43" s="4"/>
      <c r="G43" s="4"/>
      <c r="H43" s="4"/>
    </row>
    <row r="44" spans="2:8" ht="15">
      <c r="B44" s="4"/>
      <c r="C44" s="4"/>
      <c r="D44" s="4"/>
      <c r="E44" s="4"/>
      <c r="F44" s="4"/>
      <c r="G44" s="4"/>
      <c r="H44" s="4"/>
    </row>
    <row r="45" spans="2:8" ht="15">
      <c r="B45" s="4"/>
      <c r="C45" s="4"/>
      <c r="D45" s="4"/>
      <c r="E45" s="4"/>
      <c r="F45" s="4"/>
      <c r="G45" s="4"/>
      <c r="H45" s="4"/>
    </row>
    <row r="46" spans="2:8" ht="15">
      <c r="B46" s="4"/>
      <c r="C46" s="4"/>
      <c r="D46" s="4"/>
      <c r="E46" s="4"/>
      <c r="F46" s="4"/>
      <c r="G46" s="4"/>
      <c r="H46" s="4"/>
    </row>
    <row r="47" spans="2:8" ht="15">
      <c r="B47" s="4"/>
      <c r="C47" s="4"/>
      <c r="D47" s="4"/>
      <c r="E47" s="4"/>
      <c r="F47" s="4"/>
      <c r="G47" s="4"/>
      <c r="H47" s="4"/>
    </row>
    <row r="48" spans="2:8" ht="15">
      <c r="B48" s="4"/>
      <c r="C48" s="4"/>
      <c r="D48" s="4"/>
      <c r="E48" s="4"/>
      <c r="F48" s="4"/>
      <c r="G48" s="4"/>
      <c r="H48" s="4"/>
    </row>
    <row r="49" spans="2:8" ht="15">
      <c r="B49" s="4"/>
      <c r="C49" s="4"/>
      <c r="D49" s="4"/>
      <c r="E49" s="4"/>
      <c r="F49" s="4"/>
      <c r="G49" s="4"/>
      <c r="H49" s="4"/>
    </row>
    <row r="50" spans="2:8" ht="15">
      <c r="B50" s="4"/>
      <c r="C50" s="4"/>
      <c r="D50" s="4"/>
      <c r="E50" s="4"/>
      <c r="F50" s="4"/>
      <c r="G50" s="4"/>
      <c r="H50" s="4"/>
    </row>
    <row r="51" spans="2:8" ht="15">
      <c r="B51" s="4"/>
      <c r="C51" s="4"/>
      <c r="D51" s="4"/>
      <c r="E51" s="4"/>
      <c r="F51" s="4"/>
      <c r="G51" s="4"/>
      <c r="H51" s="4"/>
    </row>
    <row r="52" spans="2:3" ht="15">
      <c r="B52" s="6"/>
      <c r="C52" s="6"/>
    </row>
    <row r="53" spans="2:8" ht="15">
      <c r="B53" s="7"/>
      <c r="C53" s="4"/>
      <c r="D53" s="4"/>
      <c r="E53" s="4"/>
      <c r="F53" s="4"/>
      <c r="G53" s="4"/>
      <c r="H53" s="4"/>
    </row>
    <row r="54" spans="2:8" ht="15">
      <c r="B54" s="4"/>
      <c r="C54" s="4"/>
      <c r="D54" s="4"/>
      <c r="E54" s="4"/>
      <c r="F54" s="4"/>
      <c r="G54" s="4"/>
      <c r="H54" s="4"/>
    </row>
    <row r="55" spans="2:8" ht="15">
      <c r="B55" s="4"/>
      <c r="C55" s="4"/>
      <c r="D55" s="4"/>
      <c r="E55" s="4"/>
      <c r="F55" s="4"/>
      <c r="G55" s="4"/>
      <c r="H55" s="4"/>
    </row>
    <row r="56" spans="2:8" ht="15">
      <c r="B56" s="4"/>
      <c r="C56" s="4"/>
      <c r="D56" s="4"/>
      <c r="E56" s="4"/>
      <c r="F56" s="4"/>
      <c r="G56" s="4"/>
      <c r="H56" s="4"/>
    </row>
    <row r="57" spans="2:8" ht="15">
      <c r="B57" s="4"/>
      <c r="C57" s="4"/>
      <c r="D57" s="4"/>
      <c r="E57" s="4"/>
      <c r="F57" s="4"/>
      <c r="G57" s="4"/>
      <c r="H57" s="4"/>
    </row>
    <row r="58" spans="2:8" ht="15">
      <c r="B58" s="4"/>
      <c r="C58" s="4"/>
      <c r="D58" s="4"/>
      <c r="E58" s="4"/>
      <c r="F58" s="4"/>
      <c r="G58" s="4"/>
      <c r="H58" s="4"/>
    </row>
    <row r="59" spans="2:4" ht="15">
      <c r="B59" s="4"/>
      <c r="C59" s="4"/>
      <c r="D59" s="4"/>
    </row>
    <row r="60" spans="2:4" ht="15">
      <c r="B60" s="4"/>
      <c r="C60" s="4"/>
      <c r="D60" s="4"/>
    </row>
    <row r="61" spans="2:4" ht="15">
      <c r="B61" s="4"/>
      <c r="C61" s="4"/>
      <c r="D61" s="4"/>
    </row>
    <row r="62" spans="2:4" ht="15">
      <c r="B62" s="4"/>
      <c r="C62" s="4"/>
      <c r="D62" s="4"/>
    </row>
    <row r="63" spans="2:4" ht="15">
      <c r="B63" s="4"/>
      <c r="C63" s="4"/>
      <c r="D63" s="4"/>
    </row>
    <row r="64" spans="2:4" ht="15">
      <c r="B64" s="4"/>
      <c r="C64" s="4"/>
      <c r="D64" s="4"/>
    </row>
    <row r="65" spans="2:4" ht="15">
      <c r="B65" s="4"/>
      <c r="C65" s="4"/>
      <c r="D65" s="4"/>
    </row>
  </sheetData>
  <sheetProtection/>
  <mergeCells count="5">
    <mergeCell ref="B37:H41"/>
    <mergeCell ref="D1:H1"/>
    <mergeCell ref="D2:H2"/>
    <mergeCell ref="E3:H3"/>
    <mergeCell ref="G4:H4"/>
  </mergeCells>
  <printOptions/>
  <pageMargins left="0.7480314960629921" right="0.7480314960629921" top="0.8661417322834646" bottom="0.7874015748031497" header="0.5118110236220472" footer="0.5118110236220472"/>
  <pageSetup horizontalDpi="150" verticalDpi="15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J41"/>
  <sheetViews>
    <sheetView zoomScalePageLayoutView="0" workbookViewId="0" topLeftCell="A1">
      <selection activeCell="F15" sqref="F15"/>
    </sheetView>
  </sheetViews>
  <sheetFormatPr defaultColWidth="8.88671875" defaultRowHeight="15"/>
  <cols>
    <col min="1" max="1" width="3.3359375" style="22" customWidth="1"/>
    <col min="2" max="2" width="3.77734375" style="22" customWidth="1"/>
    <col min="3" max="3" width="8.88671875" style="22" customWidth="1"/>
    <col min="4" max="4" width="5.3359375" style="22" customWidth="1"/>
    <col min="5" max="5" width="7.77734375" style="22" customWidth="1"/>
    <col min="6" max="6" width="13.3359375" style="22" customWidth="1"/>
    <col min="7" max="7" width="11.4453125" style="22" customWidth="1"/>
    <col min="8" max="8" width="10.77734375" style="22" customWidth="1"/>
    <col min="9" max="9" width="1.88671875" style="22" customWidth="1"/>
    <col min="10" max="10" width="12.21484375" style="74" customWidth="1"/>
    <col min="11" max="16384" width="8.88671875" style="74" customWidth="1"/>
  </cols>
  <sheetData>
    <row r="1" spans="2:10" ht="12.75">
      <c r="B1" s="71" t="s">
        <v>0</v>
      </c>
      <c r="C1" s="72"/>
      <c r="D1" s="72"/>
      <c r="E1" s="72"/>
      <c r="F1" s="72"/>
      <c r="G1" s="72"/>
      <c r="H1" s="72"/>
      <c r="I1" s="72"/>
      <c r="J1" s="73"/>
    </row>
    <row r="2" spans="2:10" ht="12.75">
      <c r="B2" s="75" t="str">
        <f>"Seabuckthorn Berry - Cost of Production Summary "&amp;Introduction!G4</f>
        <v>Seabuckthorn Berry - Cost of Production Summary May, 2006</v>
      </c>
      <c r="C2" s="76"/>
      <c r="D2" s="76"/>
      <c r="E2" s="76"/>
      <c r="F2" s="76"/>
      <c r="G2" s="76"/>
      <c r="H2" s="76"/>
      <c r="I2" s="76"/>
      <c r="J2" s="76"/>
    </row>
    <row r="3" spans="2:10" ht="12.75">
      <c r="B3" s="71"/>
      <c r="C3" s="72"/>
      <c r="D3" s="72"/>
      <c r="E3" s="72"/>
      <c r="F3" s="72"/>
      <c r="G3" s="72"/>
      <c r="H3" s="72"/>
      <c r="I3" s="72"/>
      <c r="J3" s="73"/>
    </row>
    <row r="4" spans="2:10" ht="14.25">
      <c r="B4" s="71"/>
      <c r="C4" s="77"/>
      <c r="D4" s="72"/>
      <c r="E4" s="72"/>
      <c r="F4" s="78" t="s">
        <v>265</v>
      </c>
      <c r="G4" s="79" t="s">
        <v>89</v>
      </c>
      <c r="H4" s="28" t="s">
        <v>254</v>
      </c>
      <c r="J4" s="73"/>
    </row>
    <row r="5" spans="2:10" ht="17.25" customHeight="1">
      <c r="B5" s="71"/>
      <c r="C5" s="71"/>
      <c r="D5" s="71"/>
      <c r="E5" s="71"/>
      <c r="F5" s="28" t="s">
        <v>237</v>
      </c>
      <c r="G5" s="28" t="s">
        <v>253</v>
      </c>
      <c r="H5" s="79" t="s">
        <v>70</v>
      </c>
      <c r="I5" s="80"/>
      <c r="J5" s="73"/>
    </row>
    <row r="6" spans="1:10" ht="12.75">
      <c r="A6" s="81" t="s">
        <v>29</v>
      </c>
      <c r="F6" s="82" t="s">
        <v>184</v>
      </c>
      <c r="G6" s="82" t="s">
        <v>184</v>
      </c>
      <c r="H6" s="83" t="s">
        <v>185</v>
      </c>
      <c r="I6" s="83"/>
      <c r="J6" s="82" t="s">
        <v>59</v>
      </c>
    </row>
    <row r="7" spans="2:10" ht="14.25">
      <c r="B7" s="71" t="s">
        <v>266</v>
      </c>
      <c r="F7" s="38">
        <f>'Establish Details'!D8</f>
        <v>2500</v>
      </c>
      <c r="G7" s="84">
        <f>F33/COUNT(Assumptions!D12:D31)</f>
        <v>489.2952222222222</v>
      </c>
      <c r="H7" s="85">
        <f>ROUND(G7/Assumptions!$E$33,4)</f>
        <v>0.1439</v>
      </c>
      <c r="I7" s="36"/>
      <c r="J7" s="86"/>
    </row>
    <row r="8" spans="2:10" ht="12.75">
      <c r="B8" s="71" t="s">
        <v>22</v>
      </c>
      <c r="F8" s="38">
        <f>'Establish Details'!D14</f>
        <v>0</v>
      </c>
      <c r="G8" s="87">
        <f>'Picking Details'!D16</f>
        <v>0</v>
      </c>
      <c r="H8" s="85">
        <f>ROUND(G8/Assumptions!$E$33,4)</f>
        <v>0</v>
      </c>
      <c r="I8" s="36"/>
      <c r="J8" s="88"/>
    </row>
    <row r="9" spans="2:10" ht="12.75">
      <c r="B9" s="71" t="s">
        <v>65</v>
      </c>
      <c r="F9" s="38">
        <f>'Establish Details'!D17</f>
        <v>6</v>
      </c>
      <c r="G9" s="87">
        <f>'Picking Details'!D21</f>
        <v>0</v>
      </c>
      <c r="H9" s="85">
        <f>ROUND(G9/Assumptions!$E$33,4)</f>
        <v>0</v>
      </c>
      <c r="I9" s="36"/>
      <c r="J9" s="88"/>
    </row>
    <row r="10" spans="2:10" ht="12.75">
      <c r="B10" s="71" t="s">
        <v>111</v>
      </c>
      <c r="F10" s="38">
        <f>'Establish Details'!D20</f>
        <v>0</v>
      </c>
      <c r="G10" s="87">
        <f>'Picking Details'!D26</f>
        <v>0</v>
      </c>
      <c r="H10" s="85">
        <f>ROUND(G10/Assumptions!$E$33,4)</f>
        <v>0</v>
      </c>
      <c r="I10" s="36"/>
      <c r="J10" s="88"/>
    </row>
    <row r="11" spans="2:10" ht="12.75">
      <c r="B11" s="71" t="s">
        <v>112</v>
      </c>
      <c r="F11" s="38">
        <f>'Establish Details'!D23</f>
        <v>0</v>
      </c>
      <c r="G11" s="87">
        <f>'Picking Details'!D32</f>
        <v>0</v>
      </c>
      <c r="H11" s="85">
        <f>ROUND(G11/Assumptions!$E$33,4)</f>
        <v>0</v>
      </c>
      <c r="I11" s="36"/>
      <c r="J11" s="88"/>
    </row>
    <row r="12" spans="2:10" ht="12.75">
      <c r="B12" s="71" t="s">
        <v>113</v>
      </c>
      <c r="F12" s="38">
        <f>'Establish Details'!H36+'Establish Details'!H39</f>
        <v>34.9965</v>
      </c>
      <c r="G12" s="87">
        <f>'Picking Details'!H43</f>
        <v>14.18</v>
      </c>
      <c r="H12" s="85">
        <f>ROUND(G12/Assumptions!$E$33,4)</f>
        <v>0.0042</v>
      </c>
      <c r="I12" s="36"/>
      <c r="J12" s="88"/>
    </row>
    <row r="13" spans="2:10" ht="12.75">
      <c r="B13" s="71" t="s">
        <v>227</v>
      </c>
      <c r="F13" s="38">
        <f>'Establish Details'!D45</f>
        <v>4</v>
      </c>
      <c r="G13" s="87">
        <f>'Picking Details'!D55</f>
        <v>162</v>
      </c>
      <c r="H13" s="85">
        <f>ROUND(G13/Assumptions!$E$33,4)</f>
        <v>0.0476</v>
      </c>
      <c r="I13" s="36"/>
      <c r="J13" s="88"/>
    </row>
    <row r="14" spans="2:10" ht="12.75">
      <c r="B14" s="71" t="s">
        <v>228</v>
      </c>
      <c r="F14" s="36">
        <f>'Establish Details'!D52</f>
        <v>798</v>
      </c>
      <c r="G14" s="84">
        <f>'Picking Details'!D60</f>
        <v>199.5</v>
      </c>
      <c r="H14" s="85">
        <f>ROUND(G14/Assumptions!$E$33,4)</f>
        <v>0.0587</v>
      </c>
      <c r="I14" s="36"/>
      <c r="J14" s="88"/>
    </row>
    <row r="15" spans="2:10" ht="12.75">
      <c r="B15" s="71" t="s">
        <v>69</v>
      </c>
      <c r="F15" s="36">
        <f>'Establish Details'!D63</f>
        <v>565</v>
      </c>
      <c r="G15" s="84">
        <f>'Picking Details'!D65</f>
        <v>20</v>
      </c>
      <c r="H15" s="85">
        <f>ROUND(G15/Assumptions!$E$33,4)</f>
        <v>0.0059</v>
      </c>
      <c r="I15" s="36"/>
      <c r="J15" s="88"/>
    </row>
    <row r="16" spans="2:10" ht="12.75">
      <c r="B16" s="71" t="s">
        <v>229</v>
      </c>
      <c r="F16" s="37">
        <f>'Establish Details'!D68</f>
        <v>24</v>
      </c>
      <c r="G16" s="89">
        <f>'Establish Details'!D66</f>
        <v>6</v>
      </c>
      <c r="H16" s="90">
        <f>ROUND(G16/Assumptions!$E$33,4)</f>
        <v>0.0018</v>
      </c>
      <c r="I16" s="36"/>
      <c r="J16" s="88"/>
    </row>
    <row r="17" spans="2:10" ht="12.75">
      <c r="B17" s="71" t="s">
        <v>23</v>
      </c>
      <c r="F17" s="91">
        <f>ROUND(SUM(F7:F16),2)</f>
        <v>3932</v>
      </c>
      <c r="G17" s="92">
        <f>ROUND(SUM(G7:G16),2)</f>
        <v>890.98</v>
      </c>
      <c r="H17" s="93">
        <f>ROUND(SUM(H7:H16),2)</f>
        <v>0.26</v>
      </c>
      <c r="I17" s="92"/>
      <c r="J17" s="88"/>
    </row>
    <row r="18" spans="2:10" ht="12.75">
      <c r="B18" s="71" t="s">
        <v>230</v>
      </c>
      <c r="F18" s="37">
        <f>'Establish Details'!D74</f>
        <v>117.96</v>
      </c>
      <c r="G18" s="89">
        <f>'Picking Details'!D74</f>
        <v>26.7294</v>
      </c>
      <c r="H18" s="94">
        <f>ROUND(G18/Assumptions!$E$33,4)</f>
        <v>0.0079</v>
      </c>
      <c r="I18" s="36"/>
      <c r="J18" s="88"/>
    </row>
    <row r="19" spans="2:10" ht="12.75">
      <c r="B19" s="81" t="s">
        <v>24</v>
      </c>
      <c r="F19" s="34">
        <f>F17+F18</f>
        <v>4049.96</v>
      </c>
      <c r="G19" s="95">
        <f>G17+G18</f>
        <v>917.7094</v>
      </c>
      <c r="H19" s="96">
        <f>ROUND(H17+H18,4)</f>
        <v>0.2679</v>
      </c>
      <c r="I19" s="97"/>
      <c r="J19" s="88"/>
    </row>
    <row r="20" spans="2:10" ht="12.75">
      <c r="B20" s="71"/>
      <c r="C20" s="71"/>
      <c r="D20" s="71"/>
      <c r="E20" s="71"/>
      <c r="F20" s="71"/>
      <c r="G20" s="98"/>
      <c r="J20" s="71"/>
    </row>
    <row r="21" spans="1:10" ht="12.75">
      <c r="A21" s="81" t="s">
        <v>37</v>
      </c>
      <c r="B21" s="74"/>
      <c r="G21" s="35"/>
      <c r="J21" s="71"/>
    </row>
    <row r="22" spans="1:10" ht="12.75">
      <c r="A22" s="99" t="s">
        <v>48</v>
      </c>
      <c r="B22" s="81"/>
      <c r="C22" s="71"/>
      <c r="D22" s="71"/>
      <c r="E22" s="71"/>
      <c r="F22" s="71"/>
      <c r="G22" s="98"/>
      <c r="J22" s="71"/>
    </row>
    <row r="23" spans="1:10" ht="12.75">
      <c r="A23" s="71"/>
      <c r="B23" s="71" t="s">
        <v>25</v>
      </c>
      <c r="C23" s="71"/>
      <c r="D23" s="71"/>
      <c r="E23" s="71"/>
      <c r="F23" s="91">
        <f>'Establish Details'!D85</f>
        <v>3168</v>
      </c>
      <c r="G23" s="92">
        <f>'Picking Details'!D85</f>
        <v>792</v>
      </c>
      <c r="H23" s="100">
        <f>ROUND(G23/Assumptions!$E$33,4)</f>
        <v>0.2329</v>
      </c>
      <c r="I23" s="36"/>
      <c r="J23" s="86"/>
    </row>
    <row r="24" spans="1:10" ht="12.75">
      <c r="A24" s="71"/>
      <c r="B24" s="71" t="s">
        <v>232</v>
      </c>
      <c r="C24" s="71"/>
      <c r="D24" s="71"/>
      <c r="E24" s="71"/>
      <c r="F24" s="91">
        <f>'Establish Details'!D94</f>
        <v>960</v>
      </c>
      <c r="G24" s="92">
        <f>'Picking Details'!D91</f>
        <v>240</v>
      </c>
      <c r="H24" s="100">
        <f>ROUND(G24/Assumptions!$E$33,4)</f>
        <v>0.0706</v>
      </c>
      <c r="I24" s="36"/>
      <c r="J24" s="88"/>
    </row>
    <row r="25" spans="1:10" ht="12.75">
      <c r="A25" s="99" t="s">
        <v>47</v>
      </c>
      <c r="B25" s="81"/>
      <c r="C25" s="71"/>
      <c r="D25" s="71"/>
      <c r="E25" s="71"/>
      <c r="F25" s="71"/>
      <c r="G25" s="98"/>
      <c r="H25" s="100"/>
      <c r="I25" s="36"/>
      <c r="J25" s="71"/>
    </row>
    <row r="26" spans="1:10" ht="12.75">
      <c r="A26" s="71"/>
      <c r="B26" s="71" t="s">
        <v>26</v>
      </c>
      <c r="C26" s="71"/>
      <c r="D26" s="71"/>
      <c r="E26" s="71"/>
      <c r="F26" s="91">
        <f>'Establish Details'!D105</f>
        <v>80</v>
      </c>
      <c r="G26" s="92">
        <f>'Picking Details'!D100</f>
        <v>20</v>
      </c>
      <c r="H26" s="100">
        <f>ROUND(G26/Assumptions!$E$33,4)</f>
        <v>0.0059</v>
      </c>
      <c r="I26" s="36"/>
      <c r="J26" s="86"/>
    </row>
    <row r="27" spans="1:10" ht="12.75">
      <c r="A27" s="71"/>
      <c r="B27" s="71" t="s">
        <v>27</v>
      </c>
      <c r="C27" s="71"/>
      <c r="D27" s="71"/>
      <c r="E27" s="71"/>
      <c r="F27" s="91">
        <f>'Establish Details'!D114</f>
        <v>774.4</v>
      </c>
      <c r="G27" s="92">
        <f>'Picking Details'!D107</f>
        <v>193.6</v>
      </c>
      <c r="H27" s="100">
        <f>ROUND(G27/Assumptions!$E$33,4)</f>
        <v>0.0569</v>
      </c>
      <c r="I27" s="36"/>
      <c r="J27" s="88"/>
    </row>
    <row r="28" spans="1:10" ht="12.75">
      <c r="A28" s="71"/>
      <c r="B28" s="71" t="s">
        <v>233</v>
      </c>
      <c r="C28" s="71"/>
      <c r="D28" s="71"/>
      <c r="E28" s="71"/>
      <c r="F28" s="101">
        <f>'Establish Details'!D123</f>
        <v>352</v>
      </c>
      <c r="G28" s="102">
        <f>'Picking Details'!D114</f>
        <v>88</v>
      </c>
      <c r="H28" s="94">
        <f>ROUND(G28/Assumptions!$E$33,4)</f>
        <v>0.0259</v>
      </c>
      <c r="I28" s="37"/>
      <c r="J28" s="88"/>
    </row>
    <row r="29" spans="1:10" ht="12.75">
      <c r="A29" s="71"/>
      <c r="B29" s="81" t="s">
        <v>28</v>
      </c>
      <c r="C29" s="71"/>
      <c r="D29" s="71"/>
      <c r="E29" s="71"/>
      <c r="F29" s="97">
        <f>SUM(F23:F28)</f>
        <v>5334.4</v>
      </c>
      <c r="G29" s="103">
        <f>SUM(G23:G28)</f>
        <v>1333.6</v>
      </c>
      <c r="H29" s="104">
        <f>ROUND(SUM(H23:H28),4)</f>
        <v>0.3922</v>
      </c>
      <c r="I29" s="105"/>
      <c r="J29" s="88"/>
    </row>
    <row r="30" spans="2:10" ht="12.75">
      <c r="B30" s="71"/>
      <c r="C30" s="71"/>
      <c r="D30" s="71"/>
      <c r="E30" s="71"/>
      <c r="F30" s="71"/>
      <c r="G30" s="98"/>
      <c r="H30" s="100"/>
      <c r="J30" s="71"/>
    </row>
    <row r="31" spans="1:10" ht="12.75">
      <c r="A31" s="81" t="s">
        <v>56</v>
      </c>
      <c r="B31" s="74"/>
      <c r="C31" s="74"/>
      <c r="D31" s="74"/>
      <c r="E31" s="74"/>
      <c r="F31" s="34">
        <f>'Establish Details'!D142</f>
        <v>401.5444444444444</v>
      </c>
      <c r="G31" s="95">
        <f>'Picking Details'!D124</f>
        <v>1690</v>
      </c>
      <c r="H31" s="106">
        <f>ROUND(G31/Assumptions!$E$33,4)</f>
        <v>0.4971</v>
      </c>
      <c r="I31" s="34"/>
      <c r="J31" s="86"/>
    </row>
    <row r="32" spans="2:10" ht="12.75">
      <c r="B32" s="71"/>
      <c r="C32" s="71"/>
      <c r="D32" s="71"/>
      <c r="E32" s="71"/>
      <c r="F32" s="71"/>
      <c r="G32" s="98"/>
      <c r="H32" s="100"/>
      <c r="J32" s="71"/>
    </row>
    <row r="33" spans="1:10" ht="12.75">
      <c r="A33" s="81" t="s">
        <v>57</v>
      </c>
      <c r="B33" s="74"/>
      <c r="C33" s="71"/>
      <c r="D33" s="71"/>
      <c r="E33" s="71"/>
      <c r="F33" s="97">
        <f>F19+F29+F31</f>
        <v>9785.904444444444</v>
      </c>
      <c r="G33" s="103">
        <f>G19+G29+G31</f>
        <v>3941.3094</v>
      </c>
      <c r="H33" s="104">
        <f>H19+H29+H31</f>
        <v>1.1572</v>
      </c>
      <c r="I33" s="105"/>
      <c r="J33" s="86"/>
    </row>
    <row r="35" spans="2:10" ht="12.75">
      <c r="B35" s="107" t="str">
        <f>"1. The cost of establishing the crop of $"&amp;FIXED(F33,2)&amp;" per acre, over a 4 year period, was spread over "&amp;COUNT(Assumptions!D12:D31)&amp;" years at $"&amp;FIXED(G7,2)&amp;" per year."</f>
        <v>1. The cost of establishing the crop of $9,785.90 per acre, over a 4 year period, was spread over 20 years at $489.30 per year.</v>
      </c>
      <c r="C35" s="19"/>
      <c r="D35" s="19"/>
      <c r="E35" s="19"/>
      <c r="F35" s="19"/>
      <c r="G35" s="19"/>
      <c r="H35" s="19"/>
      <c r="I35" s="19"/>
      <c r="J35" s="19"/>
    </row>
    <row r="36" spans="2:10" ht="12.75">
      <c r="B36" s="19"/>
      <c r="C36" s="19"/>
      <c r="D36" s="19"/>
      <c r="E36" s="19"/>
      <c r="F36" s="19"/>
      <c r="G36" s="19"/>
      <c r="H36" s="19"/>
      <c r="I36" s="19"/>
      <c r="J36" s="19"/>
    </row>
    <row r="37" spans="2:10" ht="12.75">
      <c r="B37" s="108"/>
      <c r="C37" s="108"/>
      <c r="D37" s="108"/>
      <c r="E37" s="108"/>
      <c r="F37" s="108"/>
      <c r="G37" s="108"/>
      <c r="H37" s="108"/>
      <c r="I37" s="108"/>
      <c r="J37" s="108"/>
    </row>
    <row r="38" spans="1:10" ht="12.75">
      <c r="A38" s="18" t="s">
        <v>252</v>
      </c>
      <c r="B38" s="19"/>
      <c r="C38" s="19"/>
      <c r="D38" s="19"/>
      <c r="E38" s="19"/>
      <c r="F38" s="19"/>
      <c r="G38" s="19"/>
      <c r="H38" s="19"/>
      <c r="I38" s="19"/>
      <c r="J38" s="19"/>
    </row>
    <row r="39" spans="1:10" ht="12.75">
      <c r="A39" s="19"/>
      <c r="B39" s="19"/>
      <c r="C39" s="19"/>
      <c r="D39" s="19"/>
      <c r="E39" s="19"/>
      <c r="F39" s="19"/>
      <c r="G39" s="19"/>
      <c r="H39" s="19"/>
      <c r="I39" s="19"/>
      <c r="J39" s="19"/>
    </row>
    <row r="40" spans="1:10" ht="12.75">
      <c r="A40" s="108"/>
      <c r="B40" s="108"/>
      <c r="C40" s="108"/>
      <c r="D40" s="108"/>
      <c r="E40" s="108"/>
      <c r="F40" s="108"/>
      <c r="G40" s="108"/>
      <c r="H40" s="108"/>
      <c r="I40" s="108"/>
      <c r="J40" s="108"/>
    </row>
    <row r="41" spans="1:10" ht="12.75">
      <c r="A41" s="108"/>
      <c r="B41" s="108"/>
      <c r="C41" s="108"/>
      <c r="D41" s="108"/>
      <c r="E41" s="108"/>
      <c r="F41" s="108"/>
      <c r="G41" s="108"/>
      <c r="H41" s="108"/>
      <c r="I41" s="108"/>
      <c r="J41" s="108"/>
    </row>
  </sheetData>
  <sheetProtection/>
  <mergeCells count="3">
    <mergeCell ref="B2:J2"/>
    <mergeCell ref="B35:J36"/>
    <mergeCell ref="A38:J39"/>
  </mergeCells>
  <printOptions/>
  <pageMargins left="0.7480314960629921" right="0.7480314960629921" top="0.984251968503937" bottom="0.984251968503937" header="0.5118110236220472" footer="0.5118110236220472"/>
  <pageSetup firstPageNumber="3" useFirstPageNumber="1" fitToHeight="1" fitToWidth="1" horizontalDpi="600" verticalDpi="600" orientation="portrait" scale="95" r:id="rId1"/>
  <headerFooter alignWithMargins="0">
    <oddHeader>&amp;LGuidelines: Seabuckthorn Cost of Production&amp;R&amp;P</oddHeader>
    <oddFooter>&amp;R&amp;"Arial,Italic"MAFRI, Policy Analysis Knowledge Centre</oddFooter>
  </headerFooter>
  <ignoredErrors>
    <ignoredError sqref="H17" formula="1"/>
    <ignoredError sqref="F29:H29" emptyCellReference="1"/>
  </ignoredErrors>
</worksheet>
</file>

<file path=xl/worksheets/sheet3.xml><?xml version="1.0" encoding="utf-8"?>
<worksheet xmlns="http://schemas.openxmlformats.org/spreadsheetml/2006/main" xmlns:r="http://schemas.openxmlformats.org/officeDocument/2006/relationships">
  <sheetPr codeName="Sheet3"/>
  <dimension ref="B1:H63"/>
  <sheetViews>
    <sheetView tabSelected="1" zoomScalePageLayoutView="0" workbookViewId="0" topLeftCell="A1">
      <selection activeCell="B11" sqref="B11"/>
    </sheetView>
  </sheetViews>
  <sheetFormatPr defaultColWidth="8.88671875" defaultRowHeight="15"/>
  <cols>
    <col min="1" max="1" width="5.6640625" style="22" customWidth="1"/>
    <col min="2" max="2" width="18.4453125" style="22" customWidth="1"/>
    <col min="3" max="3" width="12.3359375" style="22" customWidth="1"/>
    <col min="4" max="4" width="13.99609375" style="22" customWidth="1"/>
    <col min="5" max="5" width="14.4453125" style="22" customWidth="1"/>
    <col min="6" max="6" width="14.99609375" style="22" customWidth="1"/>
    <col min="7" max="16384" width="8.88671875" style="22" customWidth="1"/>
  </cols>
  <sheetData>
    <row r="1" spans="2:8" ht="18" customHeight="1">
      <c r="B1" s="149" t="s">
        <v>188</v>
      </c>
      <c r="C1" s="150"/>
      <c r="D1" s="150"/>
      <c r="E1" s="150"/>
      <c r="F1" s="150"/>
      <c r="G1" s="151"/>
      <c r="H1" s="151"/>
    </row>
    <row r="2" spans="2:7" ht="12.75">
      <c r="B2" s="71" t="s">
        <v>140</v>
      </c>
      <c r="D2" s="71"/>
      <c r="E2" s="152">
        <v>5</v>
      </c>
      <c r="G2" s="153"/>
    </row>
    <row r="3" spans="2:7" ht="12.75">
      <c r="B3" s="71" t="s">
        <v>98</v>
      </c>
      <c r="D3" s="71"/>
      <c r="E3" s="154">
        <v>500</v>
      </c>
      <c r="G3" s="153"/>
    </row>
    <row r="4" spans="2:7" ht="12.75">
      <c r="B4" s="71" t="s">
        <v>93</v>
      </c>
      <c r="D4" s="71"/>
      <c r="E4" s="155">
        <v>6</v>
      </c>
      <c r="G4" s="156"/>
    </row>
    <row r="5" spans="2:7" ht="12.75">
      <c r="B5" s="71" t="s">
        <v>104</v>
      </c>
      <c r="D5" s="71"/>
      <c r="E5" s="155">
        <v>0.8</v>
      </c>
      <c r="G5" s="157"/>
    </row>
    <row r="6" spans="2:7" ht="12.75">
      <c r="B6" s="71" t="s">
        <v>96</v>
      </c>
      <c r="D6" s="71"/>
      <c r="E6" s="158">
        <v>0.06</v>
      </c>
      <c r="G6" s="157"/>
    </row>
    <row r="7" spans="2:8" ht="12.75">
      <c r="B7" s="71" t="s">
        <v>58</v>
      </c>
      <c r="D7" s="71"/>
      <c r="E7" s="158">
        <v>0.04</v>
      </c>
      <c r="H7" s="71"/>
    </row>
    <row r="8" spans="2:8" ht="12.75">
      <c r="B8" s="71"/>
      <c r="D8" s="71"/>
      <c r="E8" s="71"/>
      <c r="F8" s="158"/>
      <c r="H8" s="71"/>
    </row>
    <row r="9" spans="2:8" ht="12.75">
      <c r="B9" s="159" t="s">
        <v>150</v>
      </c>
      <c r="C9" s="160"/>
      <c r="D9" s="160"/>
      <c r="E9" s="160"/>
      <c r="F9" s="160"/>
      <c r="H9" s="71"/>
    </row>
    <row r="10" spans="2:8" ht="12.75">
      <c r="B10" s="71"/>
      <c r="E10" s="28" t="s">
        <v>259</v>
      </c>
      <c r="F10" s="61" t="s">
        <v>255</v>
      </c>
      <c r="G10" s="25"/>
      <c r="H10" s="71"/>
    </row>
    <row r="11" spans="2:8" ht="12.75">
      <c r="B11" s="71"/>
      <c r="C11" s="161" t="s">
        <v>64</v>
      </c>
      <c r="D11" s="24"/>
      <c r="E11" s="82" t="s">
        <v>1</v>
      </c>
      <c r="F11" s="82" t="s">
        <v>260</v>
      </c>
      <c r="G11" s="25"/>
      <c r="H11" s="71"/>
    </row>
    <row r="12" spans="2:8" ht="12.75">
      <c r="B12" s="22" t="s">
        <v>173</v>
      </c>
      <c r="D12" s="162">
        <v>1</v>
      </c>
      <c r="E12" s="163">
        <v>0</v>
      </c>
      <c r="F12" s="27">
        <f>E12*0.9</f>
        <v>0</v>
      </c>
      <c r="G12" s="71"/>
      <c r="H12" s="71"/>
    </row>
    <row r="13" spans="2:8" ht="12.75">
      <c r="B13" s="22" t="s">
        <v>191</v>
      </c>
      <c r="D13" s="162">
        <v>2</v>
      </c>
      <c r="E13" s="163">
        <v>0</v>
      </c>
      <c r="F13" s="27">
        <f aca="true" t="shared" si="0" ref="F13:F31">E13*0.9</f>
        <v>0</v>
      </c>
      <c r="G13" s="71"/>
      <c r="H13" s="71"/>
    </row>
    <row r="14" spans="2:8" ht="12.75">
      <c r="B14" s="22" t="s">
        <v>192</v>
      </c>
      <c r="D14" s="162">
        <v>3</v>
      </c>
      <c r="E14" s="163">
        <v>0</v>
      </c>
      <c r="F14" s="27">
        <f t="shared" si="0"/>
        <v>0</v>
      </c>
      <c r="G14" s="71"/>
      <c r="H14" s="71"/>
    </row>
    <row r="15" spans="2:8" ht="12.75">
      <c r="B15" s="22" t="s">
        <v>193</v>
      </c>
      <c r="D15" s="162">
        <v>4</v>
      </c>
      <c r="E15" s="163">
        <v>0</v>
      </c>
      <c r="F15" s="27">
        <f t="shared" si="0"/>
        <v>0</v>
      </c>
      <c r="G15" s="71"/>
      <c r="H15" s="71"/>
    </row>
    <row r="16" spans="2:8" ht="12.75">
      <c r="B16" s="22" t="s">
        <v>209</v>
      </c>
      <c r="D16" s="162">
        <v>5</v>
      </c>
      <c r="E16" s="164">
        <v>3000</v>
      </c>
      <c r="F16" s="27">
        <f t="shared" si="0"/>
        <v>2700</v>
      </c>
      <c r="G16" s="71"/>
      <c r="H16" s="71"/>
    </row>
    <row r="17" spans="2:8" ht="12.75">
      <c r="B17" s="22" t="s">
        <v>194</v>
      </c>
      <c r="D17" s="162">
        <v>6</v>
      </c>
      <c r="E17" s="164">
        <v>3000</v>
      </c>
      <c r="F17" s="27">
        <f t="shared" si="0"/>
        <v>2700</v>
      </c>
      <c r="G17" s="71"/>
      <c r="H17" s="71"/>
    </row>
    <row r="18" spans="2:8" ht="12.75">
      <c r="B18" s="22" t="s">
        <v>195</v>
      </c>
      <c r="D18" s="162">
        <v>7</v>
      </c>
      <c r="E18" s="164">
        <v>4000</v>
      </c>
      <c r="F18" s="27">
        <f t="shared" si="0"/>
        <v>3600</v>
      </c>
      <c r="G18" s="71"/>
      <c r="H18" s="71"/>
    </row>
    <row r="19" spans="2:8" ht="12.75">
      <c r="B19" s="22" t="s">
        <v>196</v>
      </c>
      <c r="D19" s="162">
        <v>8</v>
      </c>
      <c r="E19" s="164">
        <v>4000</v>
      </c>
      <c r="F19" s="27">
        <f t="shared" si="0"/>
        <v>3600</v>
      </c>
      <c r="G19" s="71"/>
      <c r="H19" s="71"/>
    </row>
    <row r="20" spans="2:8" ht="12.75">
      <c r="B20" s="22" t="s">
        <v>197</v>
      </c>
      <c r="D20" s="162">
        <v>9</v>
      </c>
      <c r="E20" s="164">
        <v>5000</v>
      </c>
      <c r="F20" s="27">
        <f t="shared" si="0"/>
        <v>4500</v>
      </c>
      <c r="G20" s="71"/>
      <c r="H20" s="71"/>
    </row>
    <row r="21" spans="2:8" ht="12.75">
      <c r="B21" s="22" t="s">
        <v>198</v>
      </c>
      <c r="D21" s="162">
        <v>10</v>
      </c>
      <c r="E21" s="164">
        <v>5000</v>
      </c>
      <c r="F21" s="27">
        <f t="shared" si="0"/>
        <v>4500</v>
      </c>
      <c r="G21" s="71"/>
      <c r="H21" s="71"/>
    </row>
    <row r="22" spans="2:8" ht="12.75">
      <c r="B22" s="22" t="s">
        <v>199</v>
      </c>
      <c r="D22" s="162">
        <v>11</v>
      </c>
      <c r="E22" s="164">
        <v>5000</v>
      </c>
      <c r="F22" s="27">
        <f t="shared" si="0"/>
        <v>4500</v>
      </c>
      <c r="G22" s="71"/>
      <c r="H22" s="71"/>
    </row>
    <row r="23" spans="2:8" ht="12.75">
      <c r="B23" s="22" t="s">
        <v>200</v>
      </c>
      <c r="D23" s="162">
        <v>12</v>
      </c>
      <c r="E23" s="164">
        <v>5000</v>
      </c>
      <c r="F23" s="27">
        <f t="shared" si="0"/>
        <v>4500</v>
      </c>
      <c r="G23" s="71"/>
      <c r="H23" s="71"/>
    </row>
    <row r="24" spans="2:8" ht="12.75">
      <c r="B24" s="22" t="s">
        <v>201</v>
      </c>
      <c r="D24" s="162">
        <v>13</v>
      </c>
      <c r="E24" s="164">
        <v>5000</v>
      </c>
      <c r="F24" s="27">
        <f t="shared" si="0"/>
        <v>4500</v>
      </c>
      <c r="G24" s="71"/>
      <c r="H24" s="71"/>
    </row>
    <row r="25" spans="2:8" ht="12.75">
      <c r="B25" s="22" t="s">
        <v>202</v>
      </c>
      <c r="D25" s="162">
        <v>14</v>
      </c>
      <c r="E25" s="164">
        <v>5000</v>
      </c>
      <c r="F25" s="27">
        <f t="shared" si="0"/>
        <v>4500</v>
      </c>
      <c r="G25" s="71"/>
      <c r="H25" s="71"/>
    </row>
    <row r="26" spans="2:8" ht="12.75">
      <c r="B26" s="22" t="s">
        <v>203</v>
      </c>
      <c r="D26" s="162">
        <v>15</v>
      </c>
      <c r="E26" s="164">
        <v>5000</v>
      </c>
      <c r="F26" s="27">
        <f t="shared" si="0"/>
        <v>4500</v>
      </c>
      <c r="G26" s="71"/>
      <c r="H26" s="71"/>
    </row>
    <row r="27" spans="2:8" ht="12.75">
      <c r="B27" s="22" t="s">
        <v>204</v>
      </c>
      <c r="D27" s="162">
        <v>16</v>
      </c>
      <c r="E27" s="164">
        <v>5000</v>
      </c>
      <c r="F27" s="27">
        <f t="shared" si="0"/>
        <v>4500</v>
      </c>
      <c r="G27" s="71"/>
      <c r="H27" s="71"/>
    </row>
    <row r="28" spans="2:8" ht="12.75">
      <c r="B28" s="22" t="s">
        <v>205</v>
      </c>
      <c r="D28" s="162">
        <v>17</v>
      </c>
      <c r="E28" s="164">
        <v>4000</v>
      </c>
      <c r="F28" s="27">
        <f t="shared" si="0"/>
        <v>3600</v>
      </c>
      <c r="G28" s="71"/>
      <c r="H28" s="71"/>
    </row>
    <row r="29" spans="2:8" ht="12.75">
      <c r="B29" s="22" t="s">
        <v>206</v>
      </c>
      <c r="D29" s="162">
        <v>18</v>
      </c>
      <c r="E29" s="164">
        <v>4000</v>
      </c>
      <c r="F29" s="27">
        <f t="shared" si="0"/>
        <v>3600</v>
      </c>
      <c r="G29" s="71"/>
      <c r="H29" s="71"/>
    </row>
    <row r="30" spans="2:8" ht="12.75">
      <c r="B30" s="22" t="s">
        <v>207</v>
      </c>
      <c r="D30" s="162">
        <v>19</v>
      </c>
      <c r="E30" s="164">
        <v>3000</v>
      </c>
      <c r="F30" s="27">
        <f t="shared" si="0"/>
        <v>2700</v>
      </c>
      <c r="G30" s="71"/>
      <c r="H30" s="71"/>
    </row>
    <row r="31" spans="2:8" ht="12.75">
      <c r="B31" s="22" t="s">
        <v>208</v>
      </c>
      <c r="D31" s="162">
        <v>20</v>
      </c>
      <c r="E31" s="165">
        <v>3000</v>
      </c>
      <c r="F31" s="31">
        <f t="shared" si="0"/>
        <v>2700</v>
      </c>
      <c r="G31" s="71"/>
      <c r="H31" s="71"/>
    </row>
    <row r="32" spans="2:8" ht="12.75">
      <c r="B32" s="71"/>
      <c r="C32" s="71"/>
      <c r="D32" s="166" t="s">
        <v>94</v>
      </c>
      <c r="E32" s="167">
        <f>SUM(E12:E31)</f>
        <v>68000</v>
      </c>
      <c r="F32" s="167">
        <f>SUM(F12:F31)</f>
        <v>61200</v>
      </c>
      <c r="G32" s="71"/>
      <c r="H32" s="71"/>
    </row>
    <row r="33" spans="2:8" ht="12.75">
      <c r="B33" s="71"/>
      <c r="C33" s="71"/>
      <c r="D33" s="166" t="s">
        <v>95</v>
      </c>
      <c r="E33" s="168">
        <f>ROUND(E32/COUNTA(E12:E31),2)</f>
        <v>3400</v>
      </c>
      <c r="F33" s="168">
        <f>ROUND(F32/COUNTA(F12:F31),2)</f>
        <v>3060</v>
      </c>
      <c r="G33" s="169"/>
      <c r="H33" s="71"/>
    </row>
    <row r="34" spans="2:8" ht="12.75">
      <c r="B34" s="71"/>
      <c r="C34" s="71"/>
      <c r="D34" s="166"/>
      <c r="E34" s="168"/>
      <c r="G34" s="169"/>
      <c r="H34" s="71"/>
    </row>
    <row r="35" spans="2:8" ht="12.75">
      <c r="B35" s="170" t="s">
        <v>17</v>
      </c>
      <c r="C35" s="71"/>
      <c r="D35" s="78" t="s">
        <v>66</v>
      </c>
      <c r="E35" s="78" t="s">
        <v>76</v>
      </c>
      <c r="F35" s="78" t="s">
        <v>149</v>
      </c>
      <c r="G35" s="166" t="s">
        <v>15</v>
      </c>
      <c r="H35" s="166" t="s">
        <v>16</v>
      </c>
    </row>
    <row r="36" spans="2:8" ht="12.75">
      <c r="B36" s="81"/>
      <c r="C36" s="71"/>
      <c r="D36" s="43" t="s">
        <v>19</v>
      </c>
      <c r="E36" s="43" t="s">
        <v>210</v>
      </c>
      <c r="F36" s="82" t="s">
        <v>210</v>
      </c>
      <c r="G36" s="171" t="s">
        <v>18</v>
      </c>
      <c r="H36" s="171" t="s">
        <v>19</v>
      </c>
    </row>
    <row r="37" spans="2:7" ht="12.75">
      <c r="B37" s="172" t="s">
        <v>97</v>
      </c>
      <c r="C37" s="71"/>
      <c r="D37" s="43"/>
      <c r="E37" s="61"/>
      <c r="F37" s="173"/>
      <c r="G37" s="82"/>
    </row>
    <row r="38" spans="2:7" ht="12.75">
      <c r="B38" s="71" t="s">
        <v>99</v>
      </c>
      <c r="C38" s="71"/>
      <c r="D38" s="174">
        <f>(E2)*E3</f>
        <v>2500</v>
      </c>
      <c r="E38" s="175">
        <v>1</v>
      </c>
      <c r="F38" s="173">
        <f>D38*E38</f>
        <v>2500</v>
      </c>
      <c r="G38" s="82"/>
    </row>
    <row r="39" spans="2:7" ht="12.75">
      <c r="B39" s="172" t="s">
        <v>21</v>
      </c>
      <c r="C39" s="71"/>
      <c r="D39" s="43"/>
      <c r="E39" s="61"/>
      <c r="F39" s="173"/>
      <c r="G39" s="82"/>
    </row>
    <row r="40" spans="2:8" ht="12.75">
      <c r="B40" s="71" t="s">
        <v>7</v>
      </c>
      <c r="C40" s="176" t="s">
        <v>211</v>
      </c>
      <c r="D40" s="177">
        <v>30000</v>
      </c>
      <c r="E40" s="175">
        <v>1</v>
      </c>
      <c r="F40" s="173">
        <f aca="true" t="shared" si="1" ref="F40:F49">D40*E40</f>
        <v>30000</v>
      </c>
      <c r="G40" s="153">
        <v>10</v>
      </c>
      <c r="H40" s="175">
        <v>0.1</v>
      </c>
    </row>
    <row r="41" spans="2:8" ht="12.75">
      <c r="B41" s="71" t="s">
        <v>215</v>
      </c>
      <c r="C41" s="178"/>
      <c r="D41" s="177">
        <v>0</v>
      </c>
      <c r="E41" s="175">
        <v>1</v>
      </c>
      <c r="F41" s="173">
        <f t="shared" si="1"/>
        <v>0</v>
      </c>
      <c r="G41" s="153">
        <v>10</v>
      </c>
      <c r="H41" s="175">
        <v>0.1</v>
      </c>
    </row>
    <row r="42" spans="2:8" ht="12.75">
      <c r="B42" s="71" t="s">
        <v>212</v>
      </c>
      <c r="C42" s="178"/>
      <c r="D42" s="177">
        <v>8000</v>
      </c>
      <c r="E42" s="175">
        <v>1</v>
      </c>
      <c r="F42" s="173">
        <f t="shared" si="1"/>
        <v>8000</v>
      </c>
      <c r="G42" s="153">
        <v>10</v>
      </c>
      <c r="H42" s="175">
        <v>0.1</v>
      </c>
    </row>
    <row r="43" spans="2:8" ht="12.75">
      <c r="B43" s="71" t="s">
        <v>213</v>
      </c>
      <c r="C43" s="178"/>
      <c r="D43" s="177">
        <v>1000</v>
      </c>
      <c r="E43" s="175">
        <v>1</v>
      </c>
      <c r="F43" s="173">
        <f t="shared" si="1"/>
        <v>1000</v>
      </c>
      <c r="G43" s="153">
        <v>10</v>
      </c>
      <c r="H43" s="175">
        <v>0.1</v>
      </c>
    </row>
    <row r="44" spans="2:8" ht="12.75">
      <c r="B44" s="22" t="s">
        <v>256</v>
      </c>
      <c r="C44" s="178"/>
      <c r="D44" s="177">
        <v>500</v>
      </c>
      <c r="E44" s="175">
        <v>1</v>
      </c>
      <c r="F44" s="173">
        <f t="shared" si="1"/>
        <v>500</v>
      </c>
      <c r="G44" s="153">
        <v>10</v>
      </c>
      <c r="H44" s="175">
        <v>0.1</v>
      </c>
    </row>
    <row r="45" spans="2:8" ht="12.75">
      <c r="B45" s="71" t="s">
        <v>214</v>
      </c>
      <c r="C45" s="178"/>
      <c r="D45" s="177">
        <v>2500</v>
      </c>
      <c r="E45" s="175">
        <v>1</v>
      </c>
      <c r="F45" s="173">
        <f t="shared" si="1"/>
        <v>2500</v>
      </c>
      <c r="G45" s="153">
        <v>10</v>
      </c>
      <c r="H45" s="175">
        <v>0.1</v>
      </c>
    </row>
    <row r="46" spans="2:8" ht="12.75">
      <c r="B46" s="71" t="s">
        <v>141</v>
      </c>
      <c r="C46" s="178"/>
      <c r="D46" s="177">
        <v>0</v>
      </c>
      <c r="E46" s="175">
        <v>0.5</v>
      </c>
      <c r="F46" s="173">
        <f t="shared" si="1"/>
        <v>0</v>
      </c>
      <c r="G46" s="153">
        <v>10</v>
      </c>
      <c r="H46" s="175">
        <v>0.1</v>
      </c>
    </row>
    <row r="47" spans="2:8" ht="12.75">
      <c r="B47" s="71" t="s">
        <v>261</v>
      </c>
      <c r="C47" s="178"/>
      <c r="D47" s="177">
        <v>0</v>
      </c>
      <c r="E47" s="175">
        <v>0.5</v>
      </c>
      <c r="F47" s="173">
        <f t="shared" si="1"/>
        <v>0</v>
      </c>
      <c r="G47" s="153">
        <v>10</v>
      </c>
      <c r="H47" s="175">
        <v>0.1</v>
      </c>
    </row>
    <row r="48" spans="2:8" ht="12.75">
      <c r="B48" s="22" t="s">
        <v>169</v>
      </c>
      <c r="C48" s="178"/>
      <c r="D48" s="177">
        <v>0</v>
      </c>
      <c r="E48" s="175">
        <v>1</v>
      </c>
      <c r="F48" s="173">
        <f t="shared" si="1"/>
        <v>0</v>
      </c>
      <c r="G48" s="153">
        <v>10</v>
      </c>
      <c r="H48" s="175">
        <v>0.1</v>
      </c>
    </row>
    <row r="49" spans="2:8" ht="12.75">
      <c r="B49" s="22" t="s">
        <v>166</v>
      </c>
      <c r="C49" s="178"/>
      <c r="D49" s="179">
        <v>2000</v>
      </c>
      <c r="E49" s="175">
        <v>1</v>
      </c>
      <c r="F49" s="180">
        <f t="shared" si="1"/>
        <v>2000</v>
      </c>
      <c r="G49" s="181">
        <v>10</v>
      </c>
      <c r="H49" s="182">
        <v>0.1</v>
      </c>
    </row>
    <row r="50" spans="2:8" ht="12.75">
      <c r="B50" s="22" t="s">
        <v>60</v>
      </c>
      <c r="D50" s="183">
        <f>SUM(D40:D49)</f>
        <v>44000</v>
      </c>
      <c r="F50" s="173">
        <f>SUM(F40:F49)</f>
        <v>44000</v>
      </c>
      <c r="G50" s="26">
        <f>SUM(G44:G49)/COUNT(G44:G49)</f>
        <v>10</v>
      </c>
      <c r="H50" s="184">
        <f>SUM(H44:H49)/COUNT(H44:H49)</f>
        <v>0.09999999999999999</v>
      </c>
    </row>
    <row r="51" ht="12.75">
      <c r="B51" s="61" t="s">
        <v>148</v>
      </c>
    </row>
    <row r="52" spans="2:8" ht="12.75">
      <c r="B52" s="22" t="s">
        <v>67</v>
      </c>
      <c r="D52" s="177">
        <v>5000</v>
      </c>
      <c r="E52" s="175">
        <v>1</v>
      </c>
      <c r="F52" s="173">
        <f>D52*E52</f>
        <v>5000</v>
      </c>
      <c r="G52" s="178">
        <v>15</v>
      </c>
      <c r="H52" s="175">
        <v>0.1</v>
      </c>
    </row>
    <row r="53" spans="2:8" ht="12.75">
      <c r="B53" s="22" t="s">
        <v>164</v>
      </c>
      <c r="D53" s="185">
        <v>0</v>
      </c>
      <c r="E53" s="175">
        <v>1</v>
      </c>
      <c r="F53" s="173">
        <f>D53*E53</f>
        <v>0</v>
      </c>
      <c r="G53" s="186">
        <v>15</v>
      </c>
      <c r="H53" s="175">
        <v>0.1</v>
      </c>
    </row>
    <row r="54" spans="2:8" ht="12.75">
      <c r="B54" s="22" t="s">
        <v>165</v>
      </c>
      <c r="D54" s="185">
        <v>15000</v>
      </c>
      <c r="E54" s="175">
        <v>1</v>
      </c>
      <c r="F54" s="173">
        <f>D54*E54</f>
        <v>15000</v>
      </c>
      <c r="G54" s="186">
        <v>15</v>
      </c>
      <c r="H54" s="175">
        <v>0.1</v>
      </c>
    </row>
    <row r="55" spans="2:8" ht="12.75">
      <c r="B55" s="22" t="s">
        <v>121</v>
      </c>
      <c r="D55" s="185">
        <v>0</v>
      </c>
      <c r="E55" s="175">
        <v>1</v>
      </c>
      <c r="F55" s="173">
        <f>D55*E55</f>
        <v>0</v>
      </c>
      <c r="G55" s="186">
        <v>15</v>
      </c>
      <c r="H55" s="175">
        <v>0.1</v>
      </c>
    </row>
    <row r="56" spans="2:8" ht="12.75">
      <c r="B56" s="22" t="s">
        <v>86</v>
      </c>
      <c r="D56" s="187">
        <v>0</v>
      </c>
      <c r="E56" s="182">
        <v>1</v>
      </c>
      <c r="F56" s="180">
        <f>D56*E56</f>
        <v>0</v>
      </c>
      <c r="G56" s="188">
        <v>15</v>
      </c>
      <c r="H56" s="182">
        <v>0.1</v>
      </c>
    </row>
    <row r="57" spans="2:8" ht="12.75">
      <c r="B57" s="22" t="s">
        <v>60</v>
      </c>
      <c r="D57" s="183">
        <f>SUM(D52:D56)</f>
        <v>20000</v>
      </c>
      <c r="E57" s="26"/>
      <c r="F57" s="189">
        <f>SUM(F52:F56)</f>
        <v>20000</v>
      </c>
      <c r="G57" s="26">
        <f>SUM(G52:G56)/COUNT(G52:G56)</f>
        <v>15</v>
      </c>
      <c r="H57" s="184">
        <f>SUM(H52:H56)/COUNT(H52:H56)</f>
        <v>0.1</v>
      </c>
    </row>
    <row r="58" spans="2:6" ht="12.75">
      <c r="B58" s="26" t="s">
        <v>100</v>
      </c>
      <c r="D58" s="189">
        <f>D38+D50+D57</f>
        <v>66500</v>
      </c>
      <c r="E58" s="56"/>
      <c r="F58" s="189">
        <f>F38+F50+F57</f>
        <v>66500</v>
      </c>
    </row>
    <row r="59" spans="3:8" ht="12.75">
      <c r="C59" s="26"/>
      <c r="H59" s="175"/>
    </row>
    <row r="60" spans="2:8" ht="12.75">
      <c r="B60" s="26" t="s">
        <v>239</v>
      </c>
      <c r="C60" s="26" t="s">
        <v>238</v>
      </c>
      <c r="D60" s="189">
        <f>F38/E2</f>
        <v>500</v>
      </c>
      <c r="E60" s="190" t="s">
        <v>63</v>
      </c>
      <c r="H60" s="175"/>
    </row>
    <row r="61" spans="2:5" ht="12.75">
      <c r="B61" s="26"/>
      <c r="C61" s="81" t="s">
        <v>120</v>
      </c>
      <c r="D61" s="173">
        <f>F50/E2</f>
        <v>8800</v>
      </c>
      <c r="E61" s="190" t="s">
        <v>63</v>
      </c>
    </row>
    <row r="62" spans="3:5" ht="12.75">
      <c r="C62" s="81" t="s">
        <v>121</v>
      </c>
      <c r="D62" s="191">
        <f>F57/E2</f>
        <v>4000</v>
      </c>
      <c r="E62" s="190" t="s">
        <v>63</v>
      </c>
    </row>
    <row r="63" spans="3:5" ht="12.75">
      <c r="C63" s="26" t="s">
        <v>60</v>
      </c>
      <c r="D63" s="189">
        <f>F58/E2</f>
        <v>13300</v>
      </c>
      <c r="E63" s="190" t="s">
        <v>63</v>
      </c>
    </row>
  </sheetData>
  <sheetProtection/>
  <mergeCells count="3">
    <mergeCell ref="B9:F9"/>
    <mergeCell ref="B1:F1"/>
    <mergeCell ref="C11:D11"/>
  </mergeCells>
  <printOptions horizontalCentered="1" verticalCentered="1"/>
  <pageMargins left="0.748031496062992" right="0.748031496062992" top="0.234251969" bottom="0.984251968503937" header="0.511811023622047" footer="0.511811023622047"/>
  <pageSetup firstPageNumber="4" useFirstPageNumber="1" horizontalDpi="600" verticalDpi="600" orientation="portrait" scale="90" r:id="rId1"/>
  <headerFooter alignWithMargins="0">
    <oddHeader>&amp;LGuidelines: Seabuckthorn Cost of Production&amp;R&amp;P</oddHeader>
    <oddFooter>&amp;R&amp;"Arial,Italic"MAFRI, Policy Analysis Knowledge Centre</oddFooter>
  </headerFooter>
  <rowBreaks count="1" manualBreakCount="1">
    <brk id="33" max="255" man="1"/>
  </rowBreaks>
  <colBreaks count="1" manualBreakCount="1">
    <brk id="6" max="65535" man="1"/>
  </colBreaks>
</worksheet>
</file>

<file path=xl/worksheets/sheet4.xml><?xml version="1.0" encoding="utf-8"?>
<worksheet xmlns="http://schemas.openxmlformats.org/spreadsheetml/2006/main" xmlns:r="http://schemas.openxmlformats.org/officeDocument/2006/relationships">
  <sheetPr codeName="Sheet5"/>
  <dimension ref="B2:H72"/>
  <sheetViews>
    <sheetView zoomScalePageLayoutView="0" workbookViewId="0" topLeftCell="A1">
      <selection activeCell="F7" sqref="F7"/>
    </sheetView>
  </sheetViews>
  <sheetFormatPr defaultColWidth="8.88671875" defaultRowHeight="15"/>
  <cols>
    <col min="1" max="1" width="2.88671875" style="66" customWidth="1"/>
    <col min="2" max="2" width="18.10546875" style="66" customWidth="1"/>
    <col min="3" max="3" width="8.4453125" style="66" customWidth="1"/>
    <col min="4" max="4" width="9.77734375" style="66" customWidth="1"/>
    <col min="5" max="5" width="11.4453125" style="66" customWidth="1"/>
    <col min="6" max="6" width="9.77734375" style="66" customWidth="1"/>
    <col min="7" max="7" width="11.10546875" style="66" customWidth="1"/>
    <col min="8" max="16384" width="8.88671875" style="66" customWidth="1"/>
  </cols>
  <sheetData>
    <row r="1" ht="14.25"/>
    <row r="2" spans="2:8" ht="19.5" customHeight="1">
      <c r="B2" s="114" t="s">
        <v>156</v>
      </c>
      <c r="C2" s="109"/>
      <c r="D2" s="109"/>
      <c r="E2" s="109"/>
      <c r="F2" s="109"/>
      <c r="G2" s="109"/>
      <c r="H2" s="122"/>
    </row>
    <row r="3" ht="14.25"/>
    <row r="4" ht="15">
      <c r="B4" s="115" t="s">
        <v>110</v>
      </c>
    </row>
    <row r="5" ht="15">
      <c r="B5" s="115"/>
    </row>
    <row r="6" spans="2:6" ht="15">
      <c r="B6" s="67" t="s">
        <v>163</v>
      </c>
      <c r="C6" s="67"/>
      <c r="D6" s="67"/>
      <c r="E6" s="70"/>
      <c r="F6" s="70"/>
    </row>
    <row r="7" spans="2:6" ht="15">
      <c r="B7" s="67" t="s">
        <v>216</v>
      </c>
      <c r="E7" s="110">
        <v>1000</v>
      </c>
      <c r="F7" s="66" t="s">
        <v>217</v>
      </c>
    </row>
    <row r="8" spans="2:6" ht="15">
      <c r="B8" s="67" t="s">
        <v>218</v>
      </c>
      <c r="E8" s="111">
        <v>2.5</v>
      </c>
      <c r="F8" s="66" t="s">
        <v>168</v>
      </c>
    </row>
    <row r="9" ht="14.25"/>
    <row r="10" ht="15">
      <c r="B10" s="115" t="s">
        <v>3</v>
      </c>
    </row>
    <row r="11" spans="3:7" ht="15">
      <c r="C11" s="123"/>
      <c r="D11" s="123"/>
      <c r="E11" s="123"/>
      <c r="F11" s="123"/>
      <c r="G11" s="123"/>
    </row>
    <row r="12" spans="2:7" ht="15">
      <c r="B12" s="66" t="s">
        <v>248</v>
      </c>
      <c r="E12" s="124">
        <v>0</v>
      </c>
      <c r="F12" s="125" t="s">
        <v>63</v>
      </c>
      <c r="G12" s="126"/>
    </row>
    <row r="13" spans="2:7" ht="15">
      <c r="B13" s="66" t="s">
        <v>247</v>
      </c>
      <c r="C13" s="127"/>
      <c r="E13" s="124">
        <v>0</v>
      </c>
      <c r="F13" s="125" t="s">
        <v>63</v>
      </c>
      <c r="G13" s="128"/>
    </row>
    <row r="14" spans="2:7" ht="15">
      <c r="B14" s="66" t="s">
        <v>249</v>
      </c>
      <c r="E14" s="124">
        <v>0</v>
      </c>
      <c r="F14" s="125" t="s">
        <v>63</v>
      </c>
      <c r="G14" s="121"/>
    </row>
    <row r="15" ht="15">
      <c r="G15" s="121"/>
    </row>
    <row r="16" spans="2:6" ht="15">
      <c r="B16" s="129" t="s">
        <v>82</v>
      </c>
      <c r="C16" s="70"/>
      <c r="D16" s="70"/>
      <c r="E16" s="70"/>
      <c r="F16" s="70"/>
    </row>
    <row r="17" spans="2:6" ht="15">
      <c r="B17" s="66" t="s">
        <v>248</v>
      </c>
      <c r="D17" s="130" t="s">
        <v>221</v>
      </c>
      <c r="E17" s="131">
        <v>6</v>
      </c>
      <c r="F17" s="131"/>
    </row>
    <row r="18" spans="2:6" ht="15">
      <c r="B18" s="66" t="s">
        <v>249</v>
      </c>
      <c r="C18" s="131"/>
      <c r="D18" s="131"/>
      <c r="E18" s="131">
        <v>0</v>
      </c>
      <c r="F18" s="126"/>
    </row>
    <row r="19" ht="15">
      <c r="B19" s="115"/>
    </row>
    <row r="20" ht="15">
      <c r="B20" s="115" t="s">
        <v>83</v>
      </c>
    </row>
    <row r="21" spans="2:6" ht="15">
      <c r="B21" s="66" t="s">
        <v>248</v>
      </c>
      <c r="C21" s="131"/>
      <c r="D21" s="131"/>
      <c r="E21" s="131">
        <v>0</v>
      </c>
      <c r="F21" s="132"/>
    </row>
    <row r="22" spans="2:6" ht="15">
      <c r="B22" s="66" t="s">
        <v>249</v>
      </c>
      <c r="C22" s="131"/>
      <c r="D22" s="131"/>
      <c r="E22" s="131">
        <v>0</v>
      </c>
      <c r="F22" s="126"/>
    </row>
    <row r="23" ht="15">
      <c r="B23" s="115"/>
    </row>
    <row r="24" ht="15">
      <c r="B24" s="115" t="s">
        <v>84</v>
      </c>
    </row>
    <row r="25" spans="2:6" ht="15">
      <c r="B25" s="66" t="s">
        <v>248</v>
      </c>
      <c r="C25" s="131"/>
      <c r="D25" s="131"/>
      <c r="E25" s="131">
        <v>0</v>
      </c>
      <c r="F25" s="132"/>
    </row>
    <row r="26" spans="2:6" ht="15">
      <c r="B26" s="66" t="s">
        <v>249</v>
      </c>
      <c r="C26" s="131"/>
      <c r="D26" s="131"/>
      <c r="E26" s="131">
        <v>0</v>
      </c>
      <c r="F26" s="126"/>
    </row>
    <row r="27" spans="3:5" ht="15">
      <c r="C27" s="133"/>
      <c r="D27" s="133"/>
      <c r="E27" s="133"/>
    </row>
    <row r="28" ht="15">
      <c r="B28" s="115" t="s">
        <v>170</v>
      </c>
    </row>
    <row r="29" spans="2:6" ht="15">
      <c r="B29" s="69"/>
      <c r="C29" s="68" t="s">
        <v>4</v>
      </c>
      <c r="D29" s="68" t="s">
        <v>5</v>
      </c>
      <c r="E29" s="68" t="s">
        <v>6</v>
      </c>
      <c r="F29" s="68" t="s">
        <v>7</v>
      </c>
    </row>
    <row r="30" spans="2:6" ht="15">
      <c r="B30" s="118" t="s">
        <v>234</v>
      </c>
      <c r="C30" s="70" t="s">
        <v>9</v>
      </c>
      <c r="D30" s="70" t="s">
        <v>10</v>
      </c>
      <c r="E30" s="70" t="s">
        <v>11</v>
      </c>
      <c r="F30" s="70" t="s">
        <v>12</v>
      </c>
    </row>
    <row r="31" spans="2:6" ht="15">
      <c r="B31" s="66" t="s">
        <v>13</v>
      </c>
      <c r="C31" s="121">
        <v>1</v>
      </c>
      <c r="D31" s="121">
        <v>25</v>
      </c>
      <c r="E31" s="121">
        <v>5</v>
      </c>
      <c r="F31" s="121">
        <v>100</v>
      </c>
    </row>
    <row r="32" spans="2:7" ht="15">
      <c r="B32" s="66" t="s">
        <v>14</v>
      </c>
      <c r="C32" s="121">
        <v>1</v>
      </c>
      <c r="D32" s="121">
        <v>15</v>
      </c>
      <c r="E32" s="121">
        <v>5</v>
      </c>
      <c r="F32" s="121">
        <v>50</v>
      </c>
      <c r="G32" s="66" t="s">
        <v>172</v>
      </c>
    </row>
    <row r="33" spans="2:6" ht="15">
      <c r="B33" s="66" t="s">
        <v>13</v>
      </c>
      <c r="C33" s="121">
        <v>1</v>
      </c>
      <c r="D33" s="121">
        <v>25</v>
      </c>
      <c r="E33" s="121">
        <v>5</v>
      </c>
      <c r="F33" s="121">
        <v>100</v>
      </c>
    </row>
    <row r="34" spans="2:6" ht="15">
      <c r="B34" s="66" t="s">
        <v>117</v>
      </c>
      <c r="C34" s="121">
        <v>1</v>
      </c>
      <c r="D34" s="121">
        <v>18</v>
      </c>
      <c r="E34" s="121">
        <v>5</v>
      </c>
      <c r="F34" s="121">
        <v>0</v>
      </c>
    </row>
    <row r="35" spans="2:7" ht="15">
      <c r="B35" s="67" t="s">
        <v>262</v>
      </c>
      <c r="C35" s="119">
        <v>1</v>
      </c>
      <c r="D35" s="119">
        <v>4</v>
      </c>
      <c r="E35" s="119">
        <v>2</v>
      </c>
      <c r="F35" s="119">
        <v>50</v>
      </c>
      <c r="G35" s="67"/>
    </row>
    <row r="36" spans="2:7" ht="15">
      <c r="B36" s="67" t="s">
        <v>219</v>
      </c>
      <c r="C36" s="119">
        <v>1</v>
      </c>
      <c r="D36" s="119"/>
      <c r="E36" s="119"/>
      <c r="F36" s="119"/>
      <c r="G36" s="67" t="s">
        <v>81</v>
      </c>
    </row>
    <row r="37" spans="2:7" ht="15">
      <c r="B37" s="67" t="s">
        <v>220</v>
      </c>
      <c r="C37" s="119">
        <v>1</v>
      </c>
      <c r="D37" s="119">
        <v>4</v>
      </c>
      <c r="E37" s="119">
        <v>5</v>
      </c>
      <c r="F37" s="119">
        <v>50</v>
      </c>
      <c r="G37" s="67"/>
    </row>
    <row r="38" spans="3:7" ht="14.25">
      <c r="C38" s="67"/>
      <c r="D38" s="67"/>
      <c r="E38" s="67"/>
      <c r="F38" s="67"/>
      <c r="G38" s="67"/>
    </row>
    <row r="39" spans="2:7" ht="15">
      <c r="B39" s="118" t="s">
        <v>235</v>
      </c>
      <c r="C39" s="67"/>
      <c r="D39" s="67"/>
      <c r="E39" s="67"/>
      <c r="F39" s="67"/>
      <c r="G39" s="67"/>
    </row>
    <row r="40" spans="2:7" ht="15">
      <c r="B40" s="66" t="s">
        <v>91</v>
      </c>
      <c r="C40" s="119">
        <v>3</v>
      </c>
      <c r="D40" s="119">
        <v>5</v>
      </c>
      <c r="E40" s="119">
        <v>4</v>
      </c>
      <c r="F40" s="119">
        <v>50</v>
      </c>
      <c r="G40" s="67"/>
    </row>
    <row r="41" spans="3:7" ht="15">
      <c r="C41" s="119"/>
      <c r="D41" s="119"/>
      <c r="E41" s="119"/>
      <c r="F41" s="119"/>
      <c r="G41" s="67"/>
    </row>
    <row r="42" spans="3:7" ht="15">
      <c r="C42" s="119"/>
      <c r="D42" s="119"/>
      <c r="E42" s="119"/>
      <c r="F42" s="119"/>
      <c r="G42" s="67"/>
    </row>
    <row r="43" spans="3:7" ht="14.25">
      <c r="C43" s="67"/>
      <c r="D43" s="67"/>
      <c r="E43" s="67"/>
      <c r="F43" s="67"/>
      <c r="G43" s="67"/>
    </row>
    <row r="44" spans="2:7" ht="15">
      <c r="B44" s="118" t="s">
        <v>118</v>
      </c>
      <c r="C44" s="119"/>
      <c r="D44" s="119"/>
      <c r="E44" s="119"/>
      <c r="F44" s="119"/>
      <c r="G44" s="67"/>
    </row>
    <row r="45" spans="2:7" ht="15">
      <c r="B45" s="66" t="s">
        <v>248</v>
      </c>
      <c r="D45" s="128"/>
      <c r="E45" s="123">
        <v>4</v>
      </c>
      <c r="F45" s="126" t="s">
        <v>225</v>
      </c>
      <c r="G45" s="67"/>
    </row>
    <row r="46" spans="2:7" ht="15">
      <c r="B46" s="66" t="s">
        <v>249</v>
      </c>
      <c r="D46" s="119"/>
      <c r="E46" s="111"/>
      <c r="F46" s="119"/>
      <c r="G46" s="67"/>
    </row>
    <row r="47" spans="2:7" ht="15">
      <c r="B47" s="67"/>
      <c r="C47" s="125"/>
      <c r="D47" s="119"/>
      <c r="E47" s="111"/>
      <c r="F47" s="119"/>
      <c r="G47" s="67"/>
    </row>
    <row r="48" spans="2:7" ht="15">
      <c r="B48" s="118" t="s">
        <v>119</v>
      </c>
      <c r="C48" s="67"/>
      <c r="D48" s="67"/>
      <c r="E48" s="119"/>
      <c r="F48" s="119"/>
      <c r="G48" s="67"/>
    </row>
    <row r="49" spans="2:7" ht="15">
      <c r="B49" s="67"/>
      <c r="C49" s="67" t="s">
        <v>75</v>
      </c>
      <c r="D49" s="67"/>
      <c r="E49" s="113">
        <v>0.015</v>
      </c>
      <c r="F49" s="119"/>
      <c r="G49" s="67"/>
    </row>
    <row r="50" spans="2:7" ht="15">
      <c r="B50" s="67"/>
      <c r="C50" s="119"/>
      <c r="D50" s="119"/>
      <c r="E50" s="119"/>
      <c r="F50" s="119"/>
      <c r="G50" s="67"/>
    </row>
    <row r="51" spans="2:7" ht="15">
      <c r="B51" s="118" t="s">
        <v>92</v>
      </c>
      <c r="C51" s="119"/>
      <c r="D51" s="119"/>
      <c r="E51" s="119"/>
      <c r="F51" s="119"/>
      <c r="G51" s="67"/>
    </row>
    <row r="52" spans="2:7" ht="15">
      <c r="B52" s="66" t="s">
        <v>248</v>
      </c>
      <c r="C52" s="125" t="s">
        <v>171</v>
      </c>
      <c r="E52" s="134">
        <v>0.66</v>
      </c>
      <c r="F52" s="135" t="s">
        <v>176</v>
      </c>
      <c r="G52" s="67"/>
    </row>
    <row r="53" spans="3:7" ht="15">
      <c r="C53" s="119"/>
      <c r="D53" s="119"/>
      <c r="E53" s="127">
        <v>250</v>
      </c>
      <c r="F53" s="135" t="s">
        <v>174</v>
      </c>
      <c r="G53" s="67"/>
    </row>
    <row r="54" spans="2:7" ht="15">
      <c r="B54" s="66" t="s">
        <v>249</v>
      </c>
      <c r="C54" s="119"/>
      <c r="D54" s="119"/>
      <c r="E54" s="127">
        <v>100</v>
      </c>
      <c r="F54" s="135" t="s">
        <v>63</v>
      </c>
      <c r="G54" s="67"/>
    </row>
    <row r="55" spans="2:7" ht="15">
      <c r="B55" s="67"/>
      <c r="C55" s="119"/>
      <c r="D55" s="119"/>
      <c r="E55" s="127"/>
      <c r="F55" s="128"/>
      <c r="G55" s="67"/>
    </row>
    <row r="56" spans="2:7" ht="15">
      <c r="B56" s="67"/>
      <c r="C56" s="119"/>
      <c r="D56" s="119"/>
      <c r="E56" s="127"/>
      <c r="F56" s="128"/>
      <c r="G56" s="67"/>
    </row>
    <row r="57" spans="2:6" ht="15">
      <c r="B57" s="115" t="s">
        <v>81</v>
      </c>
      <c r="C57" s="70"/>
      <c r="D57" s="70"/>
      <c r="E57" s="70"/>
      <c r="F57" s="70"/>
    </row>
    <row r="58" ht="15">
      <c r="B58" s="115"/>
    </row>
    <row r="59" spans="2:5" ht="15">
      <c r="B59" s="120" t="s">
        <v>234</v>
      </c>
      <c r="E59" s="116" t="s">
        <v>155</v>
      </c>
    </row>
    <row r="60" spans="2:7" ht="15">
      <c r="B60" s="66" t="s">
        <v>85</v>
      </c>
      <c r="D60" s="121"/>
      <c r="E60" s="136">
        <v>2</v>
      </c>
      <c r="F60" s="121"/>
      <c r="G60" s="137"/>
    </row>
    <row r="61" spans="2:7" ht="15">
      <c r="B61" s="66" t="s">
        <v>178</v>
      </c>
      <c r="D61" s="121"/>
      <c r="E61" s="136">
        <v>0</v>
      </c>
      <c r="F61" s="121"/>
      <c r="G61" s="137"/>
    </row>
    <row r="62" spans="2:7" ht="15">
      <c r="B62" s="66" t="s">
        <v>91</v>
      </c>
      <c r="D62" s="136"/>
      <c r="E62" s="136">
        <v>1.5</v>
      </c>
      <c r="F62" s="136"/>
      <c r="G62" s="137"/>
    </row>
    <row r="63" spans="2:7" ht="15">
      <c r="B63" s="66" t="s">
        <v>222</v>
      </c>
      <c r="D63" s="136"/>
      <c r="E63" s="136">
        <v>4</v>
      </c>
      <c r="F63" s="136"/>
      <c r="G63" s="137"/>
    </row>
    <row r="64" spans="2:7" ht="15">
      <c r="B64" s="66" t="s">
        <v>263</v>
      </c>
      <c r="D64" s="136"/>
      <c r="E64" s="136">
        <v>10</v>
      </c>
      <c r="F64" s="136"/>
      <c r="G64" s="137"/>
    </row>
    <row r="65" spans="2:7" ht="15">
      <c r="B65" s="66" t="s">
        <v>80</v>
      </c>
      <c r="D65" s="138"/>
      <c r="E65" s="139">
        <f>'Establish Details'!L36</f>
        <v>2.1544444444444446</v>
      </c>
      <c r="F65" s="138"/>
      <c r="G65" s="139"/>
    </row>
    <row r="66" spans="2:7" ht="15">
      <c r="B66" s="66" t="s">
        <v>142</v>
      </c>
      <c r="D66" s="137"/>
      <c r="E66" s="137">
        <f>SUM(E60:E65)</f>
        <v>19.654444444444444</v>
      </c>
      <c r="F66" s="120" t="s">
        <v>226</v>
      </c>
      <c r="G66" s="137"/>
    </row>
    <row r="67" spans="4:7" ht="15">
      <c r="D67" s="137"/>
      <c r="E67" s="137"/>
      <c r="F67" s="120"/>
      <c r="G67" s="137"/>
    </row>
    <row r="68" spans="2:7" ht="15">
      <c r="B68" s="120" t="s">
        <v>235</v>
      </c>
      <c r="D68" s="137"/>
      <c r="E68" s="137"/>
      <c r="F68" s="120"/>
      <c r="G68" s="137"/>
    </row>
    <row r="69" spans="2:7" ht="15">
      <c r="B69" s="66" t="s">
        <v>91</v>
      </c>
      <c r="D69" s="137"/>
      <c r="E69" s="137">
        <f>'Establish Details'!L39</f>
        <v>1.5</v>
      </c>
      <c r="F69" s="120" t="s">
        <v>226</v>
      </c>
      <c r="G69" s="137"/>
    </row>
    <row r="70" spans="2:7" ht="15">
      <c r="B70" s="66" t="s">
        <v>222</v>
      </c>
      <c r="D70" s="137"/>
      <c r="E70" s="136">
        <v>4</v>
      </c>
      <c r="F70" s="120" t="s">
        <v>226</v>
      </c>
      <c r="G70" s="137"/>
    </row>
    <row r="71" spans="4:7" ht="15">
      <c r="D71" s="137"/>
      <c r="E71" s="137"/>
      <c r="F71" s="120"/>
      <c r="G71" s="137"/>
    </row>
    <row r="72" spans="2:6" ht="15">
      <c r="B72" s="66" t="s">
        <v>143</v>
      </c>
      <c r="E72" s="133">
        <v>10</v>
      </c>
      <c r="F72" s="66" t="s">
        <v>46</v>
      </c>
    </row>
  </sheetData>
  <sheetProtection/>
  <mergeCells count="1">
    <mergeCell ref="B2:G2"/>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4"/>
  <dimension ref="A2:O142"/>
  <sheetViews>
    <sheetView zoomScalePageLayoutView="0" workbookViewId="0" topLeftCell="B112">
      <selection activeCell="H49" sqref="H49"/>
    </sheetView>
  </sheetViews>
  <sheetFormatPr defaultColWidth="8.88671875" defaultRowHeight="15"/>
  <cols>
    <col min="1" max="1" width="2.21484375" style="22" customWidth="1"/>
    <col min="2" max="2" width="24.10546875" style="22" customWidth="1"/>
    <col min="3" max="3" width="2.6640625" style="22" customWidth="1"/>
    <col min="4" max="4" width="13.4453125" style="22" customWidth="1"/>
    <col min="5" max="5" width="2.21484375" style="22" customWidth="1"/>
    <col min="6" max="6" width="7.99609375" style="22" customWidth="1"/>
    <col min="7" max="7" width="10.10546875" style="22" customWidth="1"/>
    <col min="8" max="8" width="9.88671875" style="22" customWidth="1"/>
    <col min="9" max="9" width="11.4453125" style="22" customWidth="1"/>
    <col min="10" max="16384" width="8.88671875" style="22" customWidth="1"/>
  </cols>
  <sheetData>
    <row r="2" spans="1:9" ht="18.75" customHeight="1">
      <c r="A2" s="20" t="s">
        <v>189</v>
      </c>
      <c r="B2" s="21"/>
      <c r="C2" s="21"/>
      <c r="D2" s="21"/>
      <c r="E2" s="21"/>
      <c r="F2" s="21"/>
      <c r="G2" s="21"/>
      <c r="H2" s="21"/>
      <c r="I2" s="21"/>
    </row>
    <row r="3" spans="2:8" ht="20.25" customHeight="1">
      <c r="B3" s="23" t="s">
        <v>144</v>
      </c>
      <c r="C3" s="24"/>
      <c r="D3" s="24"/>
      <c r="E3" s="24"/>
      <c r="F3" s="24"/>
      <c r="G3" s="24"/>
      <c r="H3" s="24"/>
    </row>
    <row r="4" ht="12.75">
      <c r="I4" s="25" t="s">
        <v>59</v>
      </c>
    </row>
    <row r="5" ht="12.75">
      <c r="B5" s="26" t="s">
        <v>109</v>
      </c>
    </row>
    <row r="6" spans="2:9" ht="12.75">
      <c r="B6" s="27" t="s">
        <v>108</v>
      </c>
      <c r="C6" s="28"/>
      <c r="D6" s="29">
        <f>Establish!E7</f>
        <v>1000</v>
      </c>
      <c r="F6" s="22" t="s">
        <v>79</v>
      </c>
      <c r="I6" s="30"/>
    </row>
    <row r="7" spans="3:9" ht="12.75">
      <c r="C7" s="31" t="s">
        <v>30</v>
      </c>
      <c r="D7" s="32">
        <f>Establish!E8</f>
        <v>2.5</v>
      </c>
      <c r="E7" s="25"/>
      <c r="F7" s="25" t="s">
        <v>224</v>
      </c>
      <c r="I7" s="33"/>
    </row>
    <row r="8" spans="2:9" ht="12.75">
      <c r="B8" s="26"/>
      <c r="C8" s="28" t="s">
        <v>31</v>
      </c>
      <c r="D8" s="34">
        <f>D6*D7</f>
        <v>2500</v>
      </c>
      <c r="E8" s="26"/>
      <c r="F8" s="26" t="s">
        <v>49</v>
      </c>
      <c r="I8" s="33"/>
    </row>
    <row r="9" spans="2:9" ht="12.75">
      <c r="B9" s="26"/>
      <c r="C9" s="26"/>
      <c r="D9" s="34"/>
      <c r="E9" s="26"/>
      <c r="F9" s="26"/>
      <c r="I9" s="35"/>
    </row>
    <row r="10" ht="12.75">
      <c r="B10" s="26" t="s">
        <v>22</v>
      </c>
    </row>
    <row r="11" spans="2:9" ht="12.75">
      <c r="B11" s="22" t="s">
        <v>175</v>
      </c>
      <c r="D11" s="36">
        <f>Establish!C12</f>
        <v>0</v>
      </c>
      <c r="F11" s="22" t="s">
        <v>49</v>
      </c>
      <c r="I11" s="30"/>
    </row>
    <row r="12" spans="2:9" ht="12.75">
      <c r="B12" s="22" t="s">
        <v>74</v>
      </c>
      <c r="C12" s="31" t="s">
        <v>32</v>
      </c>
      <c r="D12" s="37">
        <f>Establish!E13</f>
        <v>0</v>
      </c>
      <c r="E12" s="25"/>
      <c r="F12" s="25" t="s">
        <v>49</v>
      </c>
      <c r="I12" s="30"/>
    </row>
    <row r="13" spans="2:9" ht="12.75">
      <c r="B13" s="22" t="s">
        <v>251</v>
      </c>
      <c r="C13" s="31"/>
      <c r="D13" s="37"/>
      <c r="E13" s="25"/>
      <c r="F13" s="25"/>
      <c r="I13" s="35"/>
    </row>
    <row r="14" spans="2:9" ht="12.75">
      <c r="B14" s="26" t="s">
        <v>223</v>
      </c>
      <c r="C14" s="28" t="s">
        <v>31</v>
      </c>
      <c r="D14" s="34">
        <f>SUM(D11:D12)</f>
        <v>0</v>
      </c>
      <c r="E14" s="26"/>
      <c r="F14" s="26" t="s">
        <v>49</v>
      </c>
      <c r="I14" s="30"/>
    </row>
    <row r="15" spans="3:9" ht="12.75">
      <c r="C15" s="27"/>
      <c r="D15" s="38"/>
      <c r="I15" s="35"/>
    </row>
    <row r="16" ht="12.75">
      <c r="B16" s="26" t="s">
        <v>65</v>
      </c>
    </row>
    <row r="17" spans="2:9" ht="12.75">
      <c r="B17" s="22" t="s">
        <v>175</v>
      </c>
      <c r="C17" s="28" t="s">
        <v>31</v>
      </c>
      <c r="D17" s="39">
        <f>Establish!E17</f>
        <v>6</v>
      </c>
      <c r="F17" s="26" t="s">
        <v>49</v>
      </c>
      <c r="I17" s="30"/>
    </row>
    <row r="18" spans="3:9" ht="12.75">
      <c r="C18" s="28"/>
      <c r="D18" s="39"/>
      <c r="E18" s="26"/>
      <c r="F18" s="26"/>
      <c r="I18" s="35"/>
    </row>
    <row r="19" spans="2:9" ht="12.75">
      <c r="B19" s="26" t="s">
        <v>111</v>
      </c>
      <c r="C19" s="28"/>
      <c r="D19" s="39"/>
      <c r="F19" s="26"/>
      <c r="I19" s="35"/>
    </row>
    <row r="20" spans="2:9" ht="12.75">
      <c r="B20" s="22" t="s">
        <v>175</v>
      </c>
      <c r="C20" s="28" t="s">
        <v>31</v>
      </c>
      <c r="D20" s="39">
        <f>Establish!C21</f>
        <v>0</v>
      </c>
      <c r="F20" s="26" t="s">
        <v>49</v>
      </c>
      <c r="I20" s="30"/>
    </row>
    <row r="21" spans="2:9" ht="12.75">
      <c r="B21" s="27"/>
      <c r="C21" s="28"/>
      <c r="D21" s="39"/>
      <c r="F21" s="26"/>
      <c r="I21" s="35"/>
    </row>
    <row r="22" spans="2:9" ht="12.75">
      <c r="B22" s="26" t="s">
        <v>112</v>
      </c>
      <c r="C22" s="28"/>
      <c r="D22" s="39"/>
      <c r="F22" s="26"/>
      <c r="I22" s="35"/>
    </row>
    <row r="23" spans="2:9" ht="12.75">
      <c r="B23" s="22" t="s">
        <v>175</v>
      </c>
      <c r="C23" s="28" t="s">
        <v>31</v>
      </c>
      <c r="D23" s="39">
        <f>Establish!C25</f>
        <v>0</v>
      </c>
      <c r="F23" s="26" t="s">
        <v>49</v>
      </c>
      <c r="I23" s="30"/>
    </row>
    <row r="24" spans="2:9" ht="12.75">
      <c r="B24" s="27"/>
      <c r="C24" s="27"/>
      <c r="D24" s="38"/>
      <c r="I24" s="30"/>
    </row>
    <row r="25" ht="12.75">
      <c r="B25" s="26" t="s">
        <v>113</v>
      </c>
    </row>
    <row r="26" spans="2:13" ht="12.75">
      <c r="B26" s="26"/>
      <c r="K26" s="40" t="s">
        <v>105</v>
      </c>
      <c r="L26" s="27" t="s">
        <v>33</v>
      </c>
      <c r="M26" s="27" t="s">
        <v>34</v>
      </c>
    </row>
    <row r="27" spans="2:13" ht="12.75">
      <c r="B27" s="26" t="s">
        <v>234</v>
      </c>
      <c r="D27" s="28" t="s">
        <v>4</v>
      </c>
      <c r="F27" s="28" t="s">
        <v>5</v>
      </c>
      <c r="G27" s="28" t="s">
        <v>6</v>
      </c>
      <c r="H27" s="28" t="s">
        <v>41</v>
      </c>
      <c r="K27" s="41" t="s">
        <v>106</v>
      </c>
      <c r="L27" s="31" t="s">
        <v>107</v>
      </c>
      <c r="M27" s="31" t="s">
        <v>35</v>
      </c>
    </row>
    <row r="28" spans="2:8" ht="12.75">
      <c r="B28" s="42" t="s">
        <v>8</v>
      </c>
      <c r="D28" s="43" t="s">
        <v>9</v>
      </c>
      <c r="F28" s="43" t="s">
        <v>39</v>
      </c>
      <c r="G28" s="43" t="s">
        <v>40</v>
      </c>
      <c r="H28" s="43" t="s">
        <v>42</v>
      </c>
    </row>
    <row r="29" spans="2:15" ht="12.75">
      <c r="B29" s="44" t="str">
        <f>Establish!B31</f>
        <v>Cultivate</v>
      </c>
      <c r="D29" s="27">
        <f>Establish!C31</f>
        <v>1</v>
      </c>
      <c r="F29" s="27">
        <f>Establish!D31</f>
        <v>25</v>
      </c>
      <c r="G29" s="27">
        <f>Establish!E31</f>
        <v>5</v>
      </c>
      <c r="H29" s="45">
        <f>(0.315*(Establish!F31*0.75))*L29*Assumptions!$E$5</f>
        <v>1.5120000000000002</v>
      </c>
      <c r="I29" s="30"/>
      <c r="K29" s="46">
        <f aca="true" t="shared" si="0" ref="K29:K35">(F29*G29)/10</f>
        <v>12.5</v>
      </c>
      <c r="L29" s="47">
        <f aca="true" t="shared" si="1" ref="L29:L35">IF(ISERR(1/K29),0,(1/K29)*D29)</f>
        <v>0.08</v>
      </c>
      <c r="M29" s="46">
        <f aca="true" t="shared" si="2" ref="M29:M35">0.1*H29</f>
        <v>0.15120000000000003</v>
      </c>
      <c r="N29" s="47"/>
      <c r="O29" s="46"/>
    </row>
    <row r="30" spans="2:13" ht="12.75">
      <c r="B30" s="44" t="str">
        <f>Establish!B32</f>
        <v>Spray</v>
      </c>
      <c r="D30" s="27">
        <f>Establish!C32</f>
        <v>1</v>
      </c>
      <c r="F30" s="27">
        <f>Establish!D32</f>
        <v>15</v>
      </c>
      <c r="G30" s="27">
        <f>Establish!E32</f>
        <v>5</v>
      </c>
      <c r="H30" s="45">
        <f>(0.315*(Establish!F32*0.75))*L30*Assumptions!$E$5</f>
        <v>1.26</v>
      </c>
      <c r="I30" s="30"/>
      <c r="K30" s="46">
        <f t="shared" si="0"/>
        <v>7.5</v>
      </c>
      <c r="L30" s="47">
        <f t="shared" si="1"/>
        <v>0.13333333333333333</v>
      </c>
      <c r="M30" s="46">
        <f t="shared" si="2"/>
        <v>0.126</v>
      </c>
    </row>
    <row r="31" spans="2:13" ht="12.75">
      <c r="B31" s="44" t="str">
        <f>Establish!B33</f>
        <v>Cultivate</v>
      </c>
      <c r="D31" s="27">
        <f>Establish!C33</f>
        <v>1</v>
      </c>
      <c r="F31" s="27">
        <f>Establish!D33</f>
        <v>25</v>
      </c>
      <c r="G31" s="27">
        <f>Establish!E33</f>
        <v>5</v>
      </c>
      <c r="H31" s="45">
        <f>(0.315*(Establish!F33*0.75))*L31*Assumptions!$E$5</f>
        <v>1.5120000000000002</v>
      </c>
      <c r="I31" s="30"/>
      <c r="K31" s="46">
        <f t="shared" si="0"/>
        <v>12.5</v>
      </c>
      <c r="L31" s="47">
        <f t="shared" si="1"/>
        <v>0.08</v>
      </c>
      <c r="M31" s="46">
        <f t="shared" si="2"/>
        <v>0.15120000000000003</v>
      </c>
    </row>
    <row r="32" spans="2:13" ht="12.75">
      <c r="B32" s="44" t="str">
        <f>Establish!B34</f>
        <v>Plant</v>
      </c>
      <c r="D32" s="27">
        <f>Establish!C34</f>
        <v>1</v>
      </c>
      <c r="F32" s="27">
        <f>Establish!D34</f>
        <v>18</v>
      </c>
      <c r="G32" s="27">
        <f>Establish!E34</f>
        <v>5</v>
      </c>
      <c r="H32" s="45">
        <f>(0.315*(Establish!F34*0.75))*L32*Assumptions!$E$5</f>
        <v>0</v>
      </c>
      <c r="I32" s="30"/>
      <c r="K32" s="46">
        <f t="shared" si="0"/>
        <v>9</v>
      </c>
      <c r="L32" s="47">
        <f t="shared" si="1"/>
        <v>0.1111111111111111</v>
      </c>
      <c r="M32" s="46">
        <f t="shared" si="2"/>
        <v>0</v>
      </c>
    </row>
    <row r="33" spans="2:13" ht="12.75">
      <c r="B33" s="44" t="str">
        <f>Establish!B35</f>
        <v>Mulching</v>
      </c>
      <c r="D33" s="27">
        <f>Establish!C35</f>
        <v>1</v>
      </c>
      <c r="F33" s="27">
        <f>Establish!D35</f>
        <v>4</v>
      </c>
      <c r="G33" s="27">
        <f>Establish!E35</f>
        <v>2</v>
      </c>
      <c r="H33" s="45">
        <f>(0.315*(Establish!F35*0.75))*L33*Assumptions!$E$5</f>
        <v>11.8125</v>
      </c>
      <c r="I33" s="30"/>
      <c r="K33" s="46">
        <f t="shared" si="0"/>
        <v>0.8</v>
      </c>
      <c r="L33" s="47">
        <f t="shared" si="1"/>
        <v>1.25</v>
      </c>
      <c r="M33" s="46">
        <f t="shared" si="2"/>
        <v>1.1812500000000001</v>
      </c>
    </row>
    <row r="34" spans="2:13" ht="12.75">
      <c r="B34" s="44" t="str">
        <f>Establish!B36</f>
        <v>Seed Grass</v>
      </c>
      <c r="D34" s="27">
        <v>0</v>
      </c>
      <c r="F34" s="27">
        <f>Establish!D36</f>
        <v>0</v>
      </c>
      <c r="G34" s="27">
        <f>Establish!E36</f>
        <v>0</v>
      </c>
      <c r="H34" s="45">
        <f>(0.315*(Establish!F36*0.75))*L34*Assumptions!$E$5</f>
        <v>0</v>
      </c>
      <c r="I34" s="30"/>
      <c r="K34" s="46">
        <f t="shared" si="0"/>
        <v>0</v>
      </c>
      <c r="L34" s="47">
        <f t="shared" si="1"/>
        <v>0</v>
      </c>
      <c r="M34" s="46">
        <f t="shared" si="2"/>
        <v>0</v>
      </c>
    </row>
    <row r="35" spans="2:13" ht="12.75">
      <c r="B35" s="44" t="str">
        <f>Establish!B37</f>
        <v>Harrow</v>
      </c>
      <c r="D35" s="27">
        <f>Establish!C37</f>
        <v>1</v>
      </c>
      <c r="F35" s="27">
        <f>Establish!D37</f>
        <v>4</v>
      </c>
      <c r="G35" s="27">
        <f>Establish!E37</f>
        <v>5</v>
      </c>
      <c r="H35" s="48">
        <f>(0.315*(Establish!F37*0.75))*L35*Assumptions!$E$5</f>
        <v>4.7250000000000005</v>
      </c>
      <c r="I35" s="30"/>
      <c r="K35" s="49">
        <f t="shared" si="0"/>
        <v>2</v>
      </c>
      <c r="L35" s="50">
        <f t="shared" si="1"/>
        <v>0.5</v>
      </c>
      <c r="M35" s="49">
        <f t="shared" si="2"/>
        <v>0.4725000000000001</v>
      </c>
    </row>
    <row r="36" spans="2:13" ht="12.75">
      <c r="B36" s="51" t="s">
        <v>60</v>
      </c>
      <c r="D36" s="27"/>
      <c r="F36" s="27"/>
      <c r="G36" s="27"/>
      <c r="H36" s="52">
        <f>SUM(H29:H35)</f>
        <v>20.8215</v>
      </c>
      <c r="I36" s="30"/>
      <c r="K36" s="53">
        <f>SUM(K29:K35)</f>
        <v>44.3</v>
      </c>
      <c r="L36" s="54">
        <f>SUM(L29:L35)</f>
        <v>2.1544444444444446</v>
      </c>
      <c r="M36" s="53">
        <f>SUM(M29:M35)</f>
        <v>2.0821500000000004</v>
      </c>
    </row>
    <row r="37" spans="2:13" ht="12.75">
      <c r="B37" s="51"/>
      <c r="D37" s="27"/>
      <c r="F37" s="27"/>
      <c r="G37" s="27"/>
      <c r="H37" s="52"/>
      <c r="I37" s="35"/>
      <c r="K37" s="49"/>
      <c r="L37" s="50"/>
      <c r="M37" s="49"/>
    </row>
    <row r="38" spans="2:13" ht="12.75">
      <c r="B38" s="26" t="s">
        <v>235</v>
      </c>
      <c r="H38" s="52"/>
      <c r="I38" s="35"/>
      <c r="K38" s="49"/>
      <c r="L38" s="50"/>
      <c r="M38" s="49"/>
    </row>
    <row r="39" spans="2:13" ht="12.75">
      <c r="B39" s="44" t="str">
        <f>Establish!B40</f>
        <v>Mowing</v>
      </c>
      <c r="D39" s="27">
        <f>Establish!C40</f>
        <v>3</v>
      </c>
      <c r="F39" s="27">
        <f>Establish!D40</f>
        <v>5</v>
      </c>
      <c r="G39" s="27">
        <f>Establish!E40</f>
        <v>4</v>
      </c>
      <c r="H39" s="52">
        <f>(0.315*(Establish!F40*0.75))*L39*Assumptions!$E$5</f>
        <v>14.175</v>
      </c>
      <c r="I39" s="30"/>
      <c r="K39" s="46">
        <f>(F39*G39)/10</f>
        <v>2</v>
      </c>
      <c r="L39" s="47">
        <f>IF(ISERR(1/K39),0,(1/K39)*D39)</f>
        <v>1.5</v>
      </c>
      <c r="M39" s="46">
        <f>0.1*H39</f>
        <v>1.4175000000000002</v>
      </c>
    </row>
    <row r="40" spans="2:13" ht="12.75">
      <c r="B40" s="51"/>
      <c r="D40" s="27"/>
      <c r="F40" s="27"/>
      <c r="G40" s="27"/>
      <c r="H40" s="52"/>
      <c r="I40" s="35"/>
      <c r="K40" s="49"/>
      <c r="L40" s="50"/>
      <c r="M40" s="49"/>
    </row>
    <row r="41" spans="11:13" ht="12.75">
      <c r="K41" s="49"/>
      <c r="L41" s="50"/>
      <c r="M41" s="49"/>
    </row>
    <row r="42" ht="12.75">
      <c r="B42" s="26" t="s">
        <v>227</v>
      </c>
    </row>
    <row r="43" spans="2:9" ht="12.75">
      <c r="B43" s="27" t="str">
        <f>Establish!F45</f>
        <v>Custom Spray $/acre</v>
      </c>
      <c r="D43" s="38">
        <f>Establish!E45</f>
        <v>4</v>
      </c>
      <c r="F43" s="22" t="s">
        <v>63</v>
      </c>
      <c r="I43" s="30"/>
    </row>
    <row r="44" spans="2:9" ht="12.75">
      <c r="B44" s="27" t="s">
        <v>181</v>
      </c>
      <c r="C44" s="25" t="s">
        <v>32</v>
      </c>
      <c r="D44" s="32">
        <f>Establish!E46</f>
        <v>0</v>
      </c>
      <c r="E44" s="25"/>
      <c r="F44" s="25" t="s">
        <v>63</v>
      </c>
      <c r="I44" s="30"/>
    </row>
    <row r="45" spans="3:9" ht="12.75">
      <c r="C45" s="26" t="s">
        <v>31</v>
      </c>
      <c r="D45" s="39">
        <f>(D43+D44)</f>
        <v>4</v>
      </c>
      <c r="E45" s="26"/>
      <c r="F45" s="26" t="s">
        <v>63</v>
      </c>
      <c r="I45" s="30"/>
    </row>
    <row r="47" ht="12.75">
      <c r="B47" s="26" t="s">
        <v>231</v>
      </c>
    </row>
    <row r="48" spans="2:9" ht="12.75">
      <c r="B48" s="26"/>
      <c r="D48" s="55">
        <f>Establish!E49</f>
        <v>0.015</v>
      </c>
      <c r="F48" s="22" t="s">
        <v>44</v>
      </c>
      <c r="I48" s="30"/>
    </row>
    <row r="49" spans="2:9" ht="12.75">
      <c r="B49" s="26"/>
      <c r="C49" s="22" t="s">
        <v>30</v>
      </c>
      <c r="D49" s="56">
        <f>Assumptions!F58/Assumptions!E2</f>
        <v>13300</v>
      </c>
      <c r="F49" s="22" t="s">
        <v>45</v>
      </c>
      <c r="G49" s="25"/>
      <c r="H49" s="25"/>
      <c r="I49" s="33"/>
    </row>
    <row r="50" spans="2:9" ht="12.75">
      <c r="B50" s="26"/>
      <c r="C50" s="22" t="s">
        <v>31</v>
      </c>
      <c r="D50" s="36">
        <f>($D$48*$D$49)</f>
        <v>199.5</v>
      </c>
      <c r="F50" s="22" t="s">
        <v>49</v>
      </c>
      <c r="I50" s="33"/>
    </row>
    <row r="51" spans="2:9" ht="12.75">
      <c r="B51" s="26"/>
      <c r="C51" s="25" t="s">
        <v>30</v>
      </c>
      <c r="D51" s="57">
        <v>4</v>
      </c>
      <c r="E51" s="25"/>
      <c r="F51" s="25" t="s">
        <v>236</v>
      </c>
      <c r="I51" s="35"/>
    </row>
    <row r="52" spans="2:9" ht="12.75">
      <c r="B52" s="26"/>
      <c r="C52" s="26" t="s">
        <v>31</v>
      </c>
      <c r="D52" s="34">
        <f>D51*D50</f>
        <v>798</v>
      </c>
      <c r="F52" s="22" t="s">
        <v>49</v>
      </c>
      <c r="I52" s="35"/>
    </row>
    <row r="53" ht="12.75">
      <c r="B53" s="26"/>
    </row>
    <row r="54" ht="12.75">
      <c r="B54" s="26" t="s">
        <v>69</v>
      </c>
    </row>
    <row r="55" spans="2:9" ht="12.75">
      <c r="B55" s="44" t="s">
        <v>171</v>
      </c>
      <c r="C55" s="28"/>
      <c r="D55" s="46">
        <f>Establish!E52</f>
        <v>0.66</v>
      </c>
      <c r="E55" s="58"/>
      <c r="F55" s="58" t="s">
        <v>131</v>
      </c>
      <c r="I55" s="30"/>
    </row>
    <row r="56" spans="3:9" ht="12.75">
      <c r="C56" s="31" t="s">
        <v>30</v>
      </c>
      <c r="D56" s="37">
        <f>Establish!E53</f>
        <v>250</v>
      </c>
      <c r="E56" s="25"/>
      <c r="F56" s="25" t="s">
        <v>132</v>
      </c>
      <c r="I56" s="30"/>
    </row>
    <row r="57" spans="3:9" ht="12.75">
      <c r="C57" s="27" t="s">
        <v>31</v>
      </c>
      <c r="D57" s="36">
        <f>D55*D56</f>
        <v>165</v>
      </c>
      <c r="F57" s="22" t="s">
        <v>63</v>
      </c>
      <c r="I57" s="30"/>
    </row>
    <row r="58" spans="3:9" ht="12.75">
      <c r="C58" s="28"/>
      <c r="D58" s="34"/>
      <c r="E58" s="26"/>
      <c r="F58" s="26"/>
      <c r="I58" s="35"/>
    </row>
    <row r="59" spans="2:9" ht="12.75">
      <c r="B59" s="44" t="s">
        <v>181</v>
      </c>
      <c r="C59" s="28"/>
      <c r="D59" s="36">
        <f>Establish!E54</f>
        <v>100</v>
      </c>
      <c r="F59" s="22" t="s">
        <v>63</v>
      </c>
      <c r="I59" s="30"/>
    </row>
    <row r="60" spans="3:9" ht="12.75">
      <c r="C60" s="27" t="s">
        <v>30</v>
      </c>
      <c r="D60" s="29">
        <v>4</v>
      </c>
      <c r="F60" s="22" t="s">
        <v>236</v>
      </c>
      <c r="I60" s="30"/>
    </row>
    <row r="61" spans="3:9" ht="12.75">
      <c r="C61" s="27" t="s">
        <v>31</v>
      </c>
      <c r="D61" s="36">
        <f>D59*D60</f>
        <v>400</v>
      </c>
      <c r="F61" s="22" t="s">
        <v>63</v>
      </c>
      <c r="I61" s="30"/>
    </row>
    <row r="63" spans="2:9" ht="12.75">
      <c r="B63" s="26" t="s">
        <v>250</v>
      </c>
      <c r="C63" s="26" t="s">
        <v>31</v>
      </c>
      <c r="D63" s="34">
        <f>D57+D61</f>
        <v>565</v>
      </c>
      <c r="E63" s="26"/>
      <c r="F63" s="26" t="s">
        <v>63</v>
      </c>
      <c r="I63" s="30"/>
    </row>
    <row r="65" ht="12.75">
      <c r="B65" s="26" t="s">
        <v>229</v>
      </c>
    </row>
    <row r="66" spans="3:9" ht="12.75">
      <c r="C66" s="27" t="s">
        <v>31</v>
      </c>
      <c r="D66" s="36">
        <f>Assumptions!E4</f>
        <v>6</v>
      </c>
      <c r="F66" s="22" t="s">
        <v>182</v>
      </c>
      <c r="I66" s="30"/>
    </row>
    <row r="67" spans="3:9" ht="12.75">
      <c r="C67" s="31" t="s">
        <v>30</v>
      </c>
      <c r="D67" s="57">
        <v>4</v>
      </c>
      <c r="E67" s="25"/>
      <c r="F67" s="25" t="s">
        <v>236</v>
      </c>
      <c r="I67" s="30"/>
    </row>
    <row r="68" spans="3:9" ht="12.75">
      <c r="C68" s="28" t="s">
        <v>31</v>
      </c>
      <c r="D68" s="34">
        <f>D67*D66</f>
        <v>24</v>
      </c>
      <c r="E68" s="26"/>
      <c r="F68" s="26" t="s">
        <v>182</v>
      </c>
      <c r="I68" s="30"/>
    </row>
    <row r="69" spans="4:6" ht="12.75">
      <c r="D69" s="38"/>
      <c r="F69" s="26"/>
    </row>
    <row r="70" ht="12.75">
      <c r="B70" s="26" t="s">
        <v>230</v>
      </c>
    </row>
    <row r="71" spans="4:9" ht="12.75">
      <c r="D71" s="36">
        <f>' Summary'!F17</f>
        <v>3932</v>
      </c>
      <c r="F71" s="22" t="s">
        <v>159</v>
      </c>
      <c r="I71" s="30"/>
    </row>
    <row r="72" spans="3:9" ht="12.75">
      <c r="C72" s="27" t="s">
        <v>36</v>
      </c>
      <c r="D72" s="22">
        <v>2</v>
      </c>
      <c r="F72" s="22" t="s">
        <v>50</v>
      </c>
      <c r="I72" s="30"/>
    </row>
    <row r="73" spans="2:9" ht="12.75">
      <c r="B73" s="26"/>
      <c r="C73" s="31" t="s">
        <v>30</v>
      </c>
      <c r="D73" s="59">
        <f>Assumptions!E6</f>
        <v>0.06</v>
      </c>
      <c r="F73" s="25" t="s">
        <v>51</v>
      </c>
      <c r="I73" s="30"/>
    </row>
    <row r="74" spans="2:9" ht="12.75">
      <c r="B74" s="26"/>
      <c r="C74" s="60" t="s">
        <v>31</v>
      </c>
      <c r="D74" s="34">
        <f>(D71/D72)*D73</f>
        <v>117.96</v>
      </c>
      <c r="F74" s="26" t="s">
        <v>49</v>
      </c>
      <c r="I74" s="30"/>
    </row>
    <row r="76" spans="4:6" ht="12.75">
      <c r="D76" s="61" t="s">
        <v>62</v>
      </c>
      <c r="E76" s="25"/>
      <c r="F76" s="25"/>
    </row>
    <row r="77" spans="2:8" ht="12.75">
      <c r="B77" s="26" t="s">
        <v>48</v>
      </c>
      <c r="D77" s="28" t="s">
        <v>72</v>
      </c>
      <c r="E77" s="27"/>
      <c r="F77" s="27"/>
      <c r="H77" s="26"/>
    </row>
    <row r="79" ht="12.75">
      <c r="B79" s="26" t="s">
        <v>25</v>
      </c>
    </row>
    <row r="80" spans="4:9" ht="12.75">
      <c r="D80" s="38">
        <f>Assumptions!D61</f>
        <v>8800</v>
      </c>
      <c r="F80" s="22" t="s">
        <v>52</v>
      </c>
      <c r="I80" s="30"/>
    </row>
    <row r="81" spans="3:9" ht="12.75">
      <c r="C81" s="27" t="s">
        <v>38</v>
      </c>
      <c r="D81" s="38">
        <f>Assumptions!H57*Assumptions!D61</f>
        <v>880</v>
      </c>
      <c r="F81" s="22" t="s">
        <v>53</v>
      </c>
      <c r="G81" s="25"/>
      <c r="I81" s="33"/>
    </row>
    <row r="82" spans="3:9" ht="12.75">
      <c r="C82" s="31" t="s">
        <v>36</v>
      </c>
      <c r="D82" s="57">
        <f>Assumptions!G50</f>
        <v>10</v>
      </c>
      <c r="E82" s="25"/>
      <c r="F82" s="25" t="s">
        <v>54</v>
      </c>
      <c r="G82" s="25"/>
      <c r="I82" s="33"/>
    </row>
    <row r="83" spans="3:9" ht="12.75">
      <c r="C83" s="62" t="s">
        <v>31</v>
      </c>
      <c r="D83" s="36">
        <f>ROUND((D80-D81)/D82,2)</f>
        <v>792</v>
      </c>
      <c r="F83" s="22" t="s">
        <v>49</v>
      </c>
      <c r="I83" s="33"/>
    </row>
    <row r="84" spans="3:9" ht="12.75">
      <c r="C84" s="63" t="s">
        <v>30</v>
      </c>
      <c r="D84" s="57">
        <v>4</v>
      </c>
      <c r="E84" s="25"/>
      <c r="F84" s="25" t="s">
        <v>236</v>
      </c>
      <c r="I84" s="30"/>
    </row>
    <row r="85" spans="3:9" ht="12.75">
      <c r="C85" s="62" t="s">
        <v>31</v>
      </c>
      <c r="D85" s="34">
        <f>D84*D83</f>
        <v>3168</v>
      </c>
      <c r="F85" s="22" t="s">
        <v>49</v>
      </c>
      <c r="I85" s="30"/>
    </row>
    <row r="86" spans="3:9" ht="12.75">
      <c r="C86" s="60"/>
      <c r="D86" s="34"/>
      <c r="F86" s="26"/>
      <c r="I86" s="35"/>
    </row>
    <row r="87" spans="3:9" ht="12.75">
      <c r="C87" s="60"/>
      <c r="D87" s="34"/>
      <c r="F87" s="26"/>
      <c r="I87" s="35"/>
    </row>
    <row r="88" ht="12.75">
      <c r="B88" s="26" t="s">
        <v>162</v>
      </c>
    </row>
    <row r="89" spans="3:9" ht="12.75">
      <c r="C89" s="27"/>
      <c r="D89" s="38">
        <f>Assumptions!D62</f>
        <v>4000</v>
      </c>
      <c r="F89" s="22" t="s">
        <v>52</v>
      </c>
      <c r="I89" s="30"/>
    </row>
    <row r="90" spans="3:9" ht="12.75">
      <c r="C90" s="27" t="s">
        <v>38</v>
      </c>
      <c r="D90" s="38">
        <f>Assumptions!H57*Assumptions!D62</f>
        <v>400</v>
      </c>
      <c r="F90" s="22" t="s">
        <v>53</v>
      </c>
      <c r="I90" s="33"/>
    </row>
    <row r="91" spans="3:9" ht="12.75">
      <c r="C91" s="31" t="s">
        <v>36</v>
      </c>
      <c r="D91" s="57">
        <f>Assumptions!G57</f>
        <v>15</v>
      </c>
      <c r="F91" s="25" t="s">
        <v>54</v>
      </c>
      <c r="I91" s="33"/>
    </row>
    <row r="92" spans="3:9" ht="12.75">
      <c r="C92" s="62" t="s">
        <v>31</v>
      </c>
      <c r="D92" s="36">
        <f>(+D89-D90)/D91</f>
        <v>240</v>
      </c>
      <c r="F92" s="22" t="s">
        <v>49</v>
      </c>
      <c r="I92" s="33"/>
    </row>
    <row r="93" spans="3:9" ht="12.75">
      <c r="C93" s="63" t="s">
        <v>30</v>
      </c>
      <c r="D93" s="57">
        <v>4</v>
      </c>
      <c r="E93" s="25"/>
      <c r="F93" s="25" t="s">
        <v>236</v>
      </c>
      <c r="I93" s="33"/>
    </row>
    <row r="94" spans="3:9" ht="12.75">
      <c r="C94" s="62" t="s">
        <v>31</v>
      </c>
      <c r="D94" s="34">
        <f>D93*D92</f>
        <v>960</v>
      </c>
      <c r="F94" s="22" t="s">
        <v>49</v>
      </c>
      <c r="I94" s="33"/>
    </row>
    <row r="95" spans="3:9" ht="12.75">
      <c r="C95" s="60"/>
      <c r="D95" s="34"/>
      <c r="F95" s="26"/>
      <c r="I95" s="35"/>
    </row>
    <row r="96" spans="3:9" ht="12.75">
      <c r="C96" s="60"/>
      <c r="D96" s="34"/>
      <c r="F96" s="26"/>
      <c r="I96" s="35"/>
    </row>
    <row r="97" spans="2:9" ht="12.75">
      <c r="B97" s="26" t="s">
        <v>47</v>
      </c>
      <c r="C97" s="27"/>
      <c r="D97" s="61" t="s">
        <v>264</v>
      </c>
      <c r="I97" s="35"/>
    </row>
    <row r="98" spans="3:9" ht="12.75">
      <c r="C98" s="27"/>
      <c r="E98" s="28">
        <v>2</v>
      </c>
      <c r="I98" s="35"/>
    </row>
    <row r="99" spans="3:9" ht="12.75">
      <c r="C99" s="27"/>
      <c r="I99" s="35"/>
    </row>
    <row r="100" ht="12.75">
      <c r="B100" s="26" t="s">
        <v>26</v>
      </c>
    </row>
    <row r="101" spans="2:9" ht="12.75">
      <c r="B101" s="26"/>
      <c r="C101" s="27"/>
      <c r="D101" s="38">
        <f>Assumptions!E3</f>
        <v>500</v>
      </c>
      <c r="F101" s="22" t="s">
        <v>52</v>
      </c>
      <c r="I101" s="30"/>
    </row>
    <row r="102" spans="3:9" ht="12.75">
      <c r="C102" s="31" t="s">
        <v>30</v>
      </c>
      <c r="D102" s="59">
        <f>Assumptions!E7</f>
        <v>0.04</v>
      </c>
      <c r="E102" s="25"/>
      <c r="F102" s="25" t="s">
        <v>55</v>
      </c>
      <c r="I102" s="30"/>
    </row>
    <row r="103" spans="3:9" ht="12.75">
      <c r="C103" s="62" t="s">
        <v>31</v>
      </c>
      <c r="D103" s="36">
        <f>D101*D102</f>
        <v>20</v>
      </c>
      <c r="F103" s="22" t="s">
        <v>49</v>
      </c>
      <c r="G103" s="26"/>
      <c r="I103" s="30"/>
    </row>
    <row r="104" spans="3:9" ht="12.75">
      <c r="C104" s="63" t="s">
        <v>30</v>
      </c>
      <c r="D104" s="57">
        <v>4</v>
      </c>
      <c r="E104" s="25"/>
      <c r="F104" s="25" t="s">
        <v>236</v>
      </c>
      <c r="G104" s="26"/>
      <c r="I104" s="30"/>
    </row>
    <row r="105" spans="3:9" ht="12.75">
      <c r="C105" s="60" t="s">
        <v>31</v>
      </c>
      <c r="D105" s="34">
        <f>D104*D103</f>
        <v>80</v>
      </c>
      <c r="E105" s="26"/>
      <c r="F105" s="26" t="s">
        <v>49</v>
      </c>
      <c r="G105" s="26"/>
      <c r="I105" s="30"/>
    </row>
    <row r="106" spans="3:9" ht="12.75">
      <c r="C106" s="62"/>
      <c r="D106" s="34"/>
      <c r="F106" s="26"/>
      <c r="I106" s="30"/>
    </row>
    <row r="107" ht="12.75">
      <c r="B107" s="26" t="s">
        <v>27</v>
      </c>
    </row>
    <row r="108" spans="4:9" ht="12.75">
      <c r="D108" s="38">
        <f>Assumptions!D61</f>
        <v>8800</v>
      </c>
      <c r="F108" s="22" t="s">
        <v>52</v>
      </c>
      <c r="I108" s="30"/>
    </row>
    <row r="109" spans="3:9" ht="12.75">
      <c r="C109" s="27" t="s">
        <v>32</v>
      </c>
      <c r="D109" s="38">
        <f>Assumptions!H50*Assumptions!D61</f>
        <v>879.9999999999999</v>
      </c>
      <c r="F109" s="22" t="s">
        <v>53</v>
      </c>
      <c r="I109" s="30"/>
    </row>
    <row r="110" spans="3:9" ht="12.75">
      <c r="C110" s="27" t="s">
        <v>36</v>
      </c>
      <c r="D110" s="29">
        <v>2</v>
      </c>
      <c r="F110" s="22" t="s">
        <v>50</v>
      </c>
      <c r="I110" s="30"/>
    </row>
    <row r="111" spans="3:9" ht="12.75">
      <c r="C111" s="31" t="s">
        <v>30</v>
      </c>
      <c r="D111" s="59">
        <f>Assumptions!E7</f>
        <v>0.04</v>
      </c>
      <c r="E111" s="25"/>
      <c r="F111" s="25" t="s">
        <v>55</v>
      </c>
      <c r="I111" s="30"/>
    </row>
    <row r="112" spans="3:9" ht="12.75">
      <c r="C112" s="62" t="s">
        <v>31</v>
      </c>
      <c r="D112" s="36">
        <f>ROUND(((+D108+D109)/D110)*D111,2)</f>
        <v>193.6</v>
      </c>
      <c r="F112" s="22" t="s">
        <v>49</v>
      </c>
      <c r="G112" s="35"/>
      <c r="H112" s="35"/>
      <c r="I112" s="30"/>
    </row>
    <row r="113" spans="3:9" ht="12.75">
      <c r="C113" s="62" t="s">
        <v>30</v>
      </c>
      <c r="D113" s="29">
        <v>4</v>
      </c>
      <c r="F113" s="22" t="s">
        <v>236</v>
      </c>
      <c r="G113" s="35"/>
      <c r="H113" s="35"/>
      <c r="I113" s="30"/>
    </row>
    <row r="114" spans="3:9" ht="12.75">
      <c r="C114" s="60" t="s">
        <v>31</v>
      </c>
      <c r="D114" s="34">
        <f>D113*D112</f>
        <v>774.4</v>
      </c>
      <c r="E114" s="26"/>
      <c r="F114" s="26" t="s">
        <v>49</v>
      </c>
      <c r="G114" s="35"/>
      <c r="H114" s="35"/>
      <c r="I114" s="30"/>
    </row>
    <row r="115" spans="3:9" ht="12.75">
      <c r="C115" s="60"/>
      <c r="D115" s="34"/>
      <c r="F115" s="26"/>
      <c r="G115" s="35"/>
      <c r="H115" s="35"/>
      <c r="I115" s="30"/>
    </row>
    <row r="116" ht="12.75">
      <c r="B116" s="26" t="s">
        <v>161</v>
      </c>
    </row>
    <row r="117" spans="3:9" ht="12.75">
      <c r="C117" s="27"/>
      <c r="D117" s="38">
        <f>Assumptions!D62</f>
        <v>4000</v>
      </c>
      <c r="F117" s="22" t="s">
        <v>52</v>
      </c>
      <c r="I117" s="30"/>
    </row>
    <row r="118" spans="3:9" ht="12.75">
      <c r="C118" s="27" t="s">
        <v>32</v>
      </c>
      <c r="D118" s="38">
        <f>Assumptions!D62*Assumptions!H57</f>
        <v>400</v>
      </c>
      <c r="F118" s="22" t="s">
        <v>53</v>
      </c>
      <c r="I118" s="30"/>
    </row>
    <row r="119" spans="3:9" ht="12.75">
      <c r="C119" s="27" t="s">
        <v>36</v>
      </c>
      <c r="D119" s="29">
        <v>2</v>
      </c>
      <c r="F119" s="22" t="s">
        <v>50</v>
      </c>
      <c r="I119" s="30"/>
    </row>
    <row r="120" spans="3:9" ht="12.75">
      <c r="C120" s="31" t="s">
        <v>30</v>
      </c>
      <c r="D120" s="59">
        <f>Assumptions!E7</f>
        <v>0.04</v>
      </c>
      <c r="E120" s="25"/>
      <c r="F120" s="25" t="s">
        <v>55</v>
      </c>
      <c r="I120" s="30"/>
    </row>
    <row r="121" spans="3:9" ht="12.75">
      <c r="C121" s="62" t="s">
        <v>31</v>
      </c>
      <c r="D121" s="36">
        <f>((+D117+D118)/D119)*D120</f>
        <v>88</v>
      </c>
      <c r="F121" s="22" t="s">
        <v>49</v>
      </c>
      <c r="I121" s="30"/>
    </row>
    <row r="122" spans="3:9" ht="12.75">
      <c r="C122" s="62" t="s">
        <v>30</v>
      </c>
      <c r="D122" s="29">
        <v>4</v>
      </c>
      <c r="F122" s="22" t="s">
        <v>236</v>
      </c>
      <c r="I122" s="30"/>
    </row>
    <row r="123" spans="3:9" ht="12.75">
      <c r="C123" s="60" t="s">
        <v>31</v>
      </c>
      <c r="D123" s="34">
        <f>D122*D121</f>
        <v>352</v>
      </c>
      <c r="F123" s="26" t="s">
        <v>49</v>
      </c>
      <c r="I123" s="30"/>
    </row>
    <row r="124" spans="3:9" ht="12.75">
      <c r="C124" s="60"/>
      <c r="D124" s="34"/>
      <c r="F124" s="26"/>
      <c r="I124" s="30"/>
    </row>
    <row r="125" ht="12.75">
      <c r="B125" s="26" t="s">
        <v>81</v>
      </c>
    </row>
    <row r="126" spans="2:9" ht="12.75">
      <c r="B126" s="22" t="s">
        <v>234</v>
      </c>
      <c r="C126" s="27"/>
      <c r="D126" s="64">
        <f>Establish!E60</f>
        <v>2</v>
      </c>
      <c r="F126" s="22" t="s">
        <v>152</v>
      </c>
      <c r="I126" s="30"/>
    </row>
    <row r="127" spans="3:9" ht="12.75">
      <c r="C127" s="27" t="s">
        <v>32</v>
      </c>
      <c r="D127" s="64">
        <f>Establish!E61</f>
        <v>0</v>
      </c>
      <c r="F127" s="22" t="s">
        <v>179</v>
      </c>
      <c r="I127" s="30"/>
    </row>
    <row r="128" spans="3:9" ht="12.75">
      <c r="C128" s="27" t="s">
        <v>32</v>
      </c>
      <c r="D128" s="64">
        <v>0</v>
      </c>
      <c r="F128" s="22" t="s">
        <v>177</v>
      </c>
      <c r="I128" s="30"/>
    </row>
    <row r="129" spans="3:9" ht="12.75">
      <c r="C129" s="27" t="s">
        <v>32</v>
      </c>
      <c r="D129" s="64">
        <f>Establish!E63</f>
        <v>4</v>
      </c>
      <c r="F129" s="22" t="s">
        <v>244</v>
      </c>
      <c r="I129" s="30"/>
    </row>
    <row r="130" spans="3:9" ht="12.75">
      <c r="C130" s="27" t="s">
        <v>32</v>
      </c>
      <c r="D130" s="64">
        <f>Establish!E64</f>
        <v>10</v>
      </c>
      <c r="F130" s="22" t="s">
        <v>180</v>
      </c>
      <c r="I130" s="30"/>
    </row>
    <row r="131" spans="3:9" ht="12.75">
      <c r="C131" s="27" t="s">
        <v>32</v>
      </c>
      <c r="D131" s="64">
        <f>Establish!E65</f>
        <v>2.1544444444444446</v>
      </c>
      <c r="F131" s="22" t="s">
        <v>154</v>
      </c>
      <c r="I131" s="30"/>
    </row>
    <row r="132" spans="3:9" ht="12.75">
      <c r="C132" s="31" t="s">
        <v>30</v>
      </c>
      <c r="D132" s="32">
        <f>Establish!E72</f>
        <v>10</v>
      </c>
      <c r="E132" s="25"/>
      <c r="F132" s="25" t="s">
        <v>46</v>
      </c>
      <c r="I132" s="30"/>
    </row>
    <row r="133" spans="3:6" ht="12.75">
      <c r="C133" s="27" t="s">
        <v>31</v>
      </c>
      <c r="D133" s="38">
        <f>(D126+D127+D128+D129+D130+D131)*D132</f>
        <v>181.54444444444442</v>
      </c>
      <c r="F133" s="22" t="s">
        <v>49</v>
      </c>
    </row>
    <row r="135" ht="12.75">
      <c r="B135" s="22" t="s">
        <v>235</v>
      </c>
    </row>
    <row r="136" spans="4:9" ht="12.75">
      <c r="D136" s="65">
        <f>L39</f>
        <v>1.5</v>
      </c>
      <c r="F136" s="22" t="s">
        <v>177</v>
      </c>
      <c r="I136" s="30"/>
    </row>
    <row r="137" spans="3:9" ht="12.75">
      <c r="C137" s="22" t="s">
        <v>32</v>
      </c>
      <c r="D137" s="65">
        <f>Establish!E70</f>
        <v>4</v>
      </c>
      <c r="F137" s="22" t="s">
        <v>244</v>
      </c>
      <c r="I137" s="30"/>
    </row>
    <row r="138" spans="3:9" ht="12.75">
      <c r="C138" s="22" t="s">
        <v>30</v>
      </c>
      <c r="D138" s="22">
        <v>4</v>
      </c>
      <c r="F138" s="22" t="s">
        <v>236</v>
      </c>
      <c r="I138" s="30"/>
    </row>
    <row r="139" spans="3:9" ht="12.75">
      <c r="C139" s="22" t="s">
        <v>30</v>
      </c>
      <c r="D139" s="32">
        <f>Establish!E72</f>
        <v>10</v>
      </c>
      <c r="E139" s="25"/>
      <c r="F139" s="25" t="s">
        <v>46</v>
      </c>
      <c r="I139" s="30"/>
    </row>
    <row r="140" spans="3:9" ht="12.75">
      <c r="C140" s="22" t="s">
        <v>31</v>
      </c>
      <c r="D140" s="36">
        <f>((D136+D137)*D138)*D139</f>
        <v>220</v>
      </c>
      <c r="F140" s="22" t="s">
        <v>49</v>
      </c>
      <c r="I140" s="30"/>
    </row>
    <row r="142" spans="2:9" ht="12.75">
      <c r="B142" s="26" t="s">
        <v>246</v>
      </c>
      <c r="C142" s="26" t="s">
        <v>31</v>
      </c>
      <c r="D142" s="34">
        <f>D133+D140</f>
        <v>401.5444444444444</v>
      </c>
      <c r="F142" s="26" t="s">
        <v>49</v>
      </c>
      <c r="I142" s="30"/>
    </row>
  </sheetData>
  <sheetProtection/>
  <mergeCells count="2">
    <mergeCell ref="A2:I2"/>
    <mergeCell ref="B3:H3"/>
  </mergeCells>
  <printOptions/>
  <pageMargins left="0.75" right="0.75" top="1" bottom="1" header="0.5" footer="0.5"/>
  <pageSetup firstPageNumber="6" useFirstPageNumber="1" horizontalDpi="600" verticalDpi="600" orientation="portrait" scale="89" r:id="rId1"/>
  <headerFooter alignWithMargins="0">
    <oddHeader>&amp;LGuidelines: Seabuckthorn Cost of Production&amp;R&amp;P</oddHeader>
    <oddFooter>&amp;R&amp;"Arial,Italic"MAFRI, Policy Analysis Knowledge Centre</oddFooter>
  </headerFooter>
  <rowBreaks count="2" manualBreakCount="2">
    <brk id="23" max="255" man="1"/>
    <brk id="115" max="255" man="1"/>
  </rowBreaks>
</worksheet>
</file>

<file path=xl/worksheets/sheet6.xml><?xml version="1.0" encoding="utf-8"?>
<worksheet xmlns="http://schemas.openxmlformats.org/spreadsheetml/2006/main" xmlns:r="http://schemas.openxmlformats.org/officeDocument/2006/relationships">
  <sheetPr codeName="Sheet1"/>
  <dimension ref="A2:I68"/>
  <sheetViews>
    <sheetView zoomScalePageLayoutView="0" workbookViewId="0" topLeftCell="A1">
      <selection activeCell="E45" sqref="E45"/>
    </sheetView>
  </sheetViews>
  <sheetFormatPr defaultColWidth="9.77734375" defaultRowHeight="15"/>
  <cols>
    <col min="1" max="1" width="2.88671875" style="66" customWidth="1"/>
    <col min="2" max="2" width="18.10546875" style="66" customWidth="1"/>
    <col min="3" max="3" width="10.6640625" style="66" customWidth="1"/>
    <col min="4" max="4" width="9.77734375" style="66" customWidth="1"/>
    <col min="5" max="5" width="11.4453125" style="66" customWidth="1"/>
    <col min="6" max="6" width="9.77734375" style="66" customWidth="1"/>
    <col min="7" max="7" width="11.10546875" style="66" customWidth="1"/>
    <col min="8" max="16384" width="9.77734375" style="66" customWidth="1"/>
  </cols>
  <sheetData>
    <row r="2" spans="2:7" ht="15">
      <c r="B2" s="114" t="s">
        <v>190</v>
      </c>
      <c r="C2" s="114"/>
      <c r="D2" s="114"/>
      <c r="E2" s="114"/>
      <c r="F2" s="114"/>
      <c r="G2" s="114"/>
    </row>
    <row r="3" spans="1:9" ht="14.25">
      <c r="A3" s="67"/>
      <c r="B3" s="67"/>
      <c r="C3" s="67"/>
      <c r="D3" s="67"/>
      <c r="E3" s="67"/>
      <c r="F3" s="67"/>
      <c r="G3" s="67"/>
      <c r="H3" s="67"/>
      <c r="I3" s="67"/>
    </row>
    <row r="4" spans="1:9" ht="15">
      <c r="A4" s="69" t="s">
        <v>29</v>
      </c>
      <c r="B4" s="67"/>
      <c r="C4" s="67"/>
      <c r="D4" s="67"/>
      <c r="E4" s="67"/>
      <c r="F4" s="67"/>
      <c r="G4" s="67"/>
      <c r="H4" s="67"/>
      <c r="I4" s="67"/>
    </row>
    <row r="5" spans="1:9" ht="15">
      <c r="A5" s="69"/>
      <c r="B5" s="67"/>
      <c r="C5" s="67"/>
      <c r="D5" s="67"/>
      <c r="E5" s="67"/>
      <c r="F5" s="67"/>
      <c r="G5" s="67"/>
      <c r="H5" s="67"/>
      <c r="I5" s="67"/>
    </row>
    <row r="6" spans="1:9" ht="15">
      <c r="A6" s="69"/>
      <c r="B6" s="69" t="s">
        <v>124</v>
      </c>
      <c r="C6" s="67"/>
      <c r="D6" s="67" t="s">
        <v>167</v>
      </c>
      <c r="E6" s="67"/>
      <c r="F6" s="67"/>
      <c r="G6" s="67"/>
      <c r="H6" s="67"/>
      <c r="I6" s="67"/>
    </row>
    <row r="7" spans="1:9" ht="15">
      <c r="A7" s="69"/>
      <c r="B7" s="67"/>
      <c r="C7" s="67"/>
      <c r="D7" s="67"/>
      <c r="E7" s="67"/>
      <c r="F7" s="67"/>
      <c r="G7" s="67"/>
      <c r="H7" s="67"/>
      <c r="I7" s="67"/>
    </row>
    <row r="8" spans="1:9" ht="15">
      <c r="A8" s="69"/>
      <c r="B8" s="67"/>
      <c r="C8" s="67"/>
      <c r="D8" s="67"/>
      <c r="E8" s="67"/>
      <c r="F8" s="67"/>
      <c r="G8" s="67"/>
      <c r="H8" s="67"/>
      <c r="I8" s="67"/>
    </row>
    <row r="9" spans="1:9" ht="15">
      <c r="A9" s="69"/>
      <c r="B9" s="67"/>
      <c r="C9" s="67"/>
      <c r="D9" s="67"/>
      <c r="E9" s="67"/>
      <c r="F9" s="67"/>
      <c r="G9" s="67"/>
      <c r="H9" s="67"/>
      <c r="I9" s="67"/>
    </row>
    <row r="10" spans="1:9" ht="15">
      <c r="A10" s="67"/>
      <c r="B10" s="69" t="s">
        <v>2</v>
      </c>
      <c r="G10" s="67"/>
      <c r="H10" s="67"/>
      <c r="I10" s="67"/>
    </row>
    <row r="11" spans="1:9" ht="15">
      <c r="A11" s="67"/>
      <c r="B11" s="66" t="s">
        <v>257</v>
      </c>
      <c r="E11" s="124">
        <v>0</v>
      </c>
      <c r="F11" s="66" t="s">
        <v>63</v>
      </c>
      <c r="H11" s="67"/>
      <c r="I11" s="67"/>
    </row>
    <row r="12" spans="1:9" ht="15">
      <c r="A12" s="67"/>
      <c r="B12" s="67" t="s">
        <v>74</v>
      </c>
      <c r="E12" s="124">
        <v>0</v>
      </c>
      <c r="F12" s="66" t="s">
        <v>63</v>
      </c>
      <c r="H12" s="67"/>
      <c r="I12" s="67"/>
    </row>
    <row r="13" spans="1:9" ht="15">
      <c r="A13" s="67"/>
      <c r="B13" s="69"/>
      <c r="D13" s="124"/>
      <c r="E13" s="69"/>
      <c r="G13" s="67"/>
      <c r="H13" s="67"/>
      <c r="I13" s="67"/>
    </row>
    <row r="14" spans="1:9" ht="15">
      <c r="A14" s="67"/>
      <c r="B14" s="69" t="s">
        <v>65</v>
      </c>
      <c r="C14" s="67"/>
      <c r="D14" s="67"/>
      <c r="E14" s="68"/>
      <c r="F14" s="68"/>
      <c r="G14" s="67"/>
      <c r="H14" s="67"/>
      <c r="I14" s="67"/>
    </row>
    <row r="15" spans="1:9" ht="15">
      <c r="A15" s="67"/>
      <c r="B15" s="67"/>
      <c r="C15" s="141"/>
      <c r="E15" s="123">
        <v>0</v>
      </c>
      <c r="F15" s="66" t="s">
        <v>63</v>
      </c>
      <c r="G15" s="67"/>
      <c r="H15" s="67"/>
      <c r="I15" s="67"/>
    </row>
    <row r="16" spans="1:9" ht="15">
      <c r="A16" s="67"/>
      <c r="B16" s="67"/>
      <c r="C16" s="141"/>
      <c r="E16" s="123">
        <v>0</v>
      </c>
      <c r="F16" s="66" t="s">
        <v>63</v>
      </c>
      <c r="G16" s="67"/>
      <c r="H16" s="67"/>
      <c r="I16" s="67"/>
    </row>
    <row r="17" spans="1:9" ht="15">
      <c r="A17" s="67"/>
      <c r="B17" s="67"/>
      <c r="C17" s="141"/>
      <c r="E17" s="111"/>
      <c r="F17" s="111"/>
      <c r="G17" s="67"/>
      <c r="H17" s="67"/>
      <c r="I17" s="67"/>
    </row>
    <row r="18" spans="1:9" ht="15">
      <c r="A18" s="67"/>
      <c r="B18" s="69" t="s">
        <v>111</v>
      </c>
      <c r="G18" s="67"/>
      <c r="H18" s="67"/>
      <c r="I18" s="67"/>
    </row>
    <row r="19" spans="1:9" ht="15">
      <c r="A19" s="67"/>
      <c r="B19" s="69"/>
      <c r="E19" s="131">
        <v>0</v>
      </c>
      <c r="F19" s="66" t="s">
        <v>63</v>
      </c>
      <c r="G19" s="67"/>
      <c r="H19" s="67"/>
      <c r="I19" s="67"/>
    </row>
    <row r="20" spans="1:9" ht="15">
      <c r="A20" s="67"/>
      <c r="B20" s="69"/>
      <c r="E20" s="131">
        <v>0</v>
      </c>
      <c r="F20" s="66" t="s">
        <v>63</v>
      </c>
      <c r="G20" s="67"/>
      <c r="H20" s="67"/>
      <c r="I20" s="67"/>
    </row>
    <row r="21" spans="1:9" ht="15">
      <c r="A21" s="67"/>
      <c r="B21" s="69"/>
      <c r="E21" s="131">
        <v>0</v>
      </c>
      <c r="F21" s="66" t="s">
        <v>63</v>
      </c>
      <c r="G21" s="67"/>
      <c r="H21" s="67"/>
      <c r="I21" s="67"/>
    </row>
    <row r="22" spans="1:9" ht="15">
      <c r="A22" s="67"/>
      <c r="B22" s="69"/>
      <c r="D22" s="133"/>
      <c r="G22" s="67"/>
      <c r="H22" s="67"/>
      <c r="I22" s="67"/>
    </row>
    <row r="23" spans="1:9" ht="15">
      <c r="A23" s="67"/>
      <c r="B23" s="69" t="s">
        <v>125</v>
      </c>
      <c r="D23" s="133"/>
      <c r="G23" s="67"/>
      <c r="H23" s="67"/>
      <c r="I23" s="67"/>
    </row>
    <row r="24" spans="1:9" ht="15">
      <c r="A24" s="67"/>
      <c r="C24" s="67"/>
      <c r="E24" s="142">
        <v>0</v>
      </c>
      <c r="F24" s="66" t="s">
        <v>63</v>
      </c>
      <c r="G24" s="67"/>
      <c r="H24" s="67"/>
      <c r="I24" s="67"/>
    </row>
    <row r="25" spans="1:9" ht="15">
      <c r="A25" s="67"/>
      <c r="C25" s="67"/>
      <c r="E25" s="142">
        <v>0</v>
      </c>
      <c r="F25" s="66" t="s">
        <v>63</v>
      </c>
      <c r="G25" s="67"/>
      <c r="H25" s="67"/>
      <c r="I25" s="67"/>
    </row>
    <row r="26" spans="1:9" ht="15">
      <c r="A26" s="67"/>
      <c r="B26" s="67"/>
      <c r="C26" s="67"/>
      <c r="E26" s="142">
        <v>0</v>
      </c>
      <c r="F26" s="66" t="s">
        <v>63</v>
      </c>
      <c r="G26" s="67"/>
      <c r="H26" s="67"/>
      <c r="I26" s="67"/>
    </row>
    <row r="27" spans="1:9" ht="15">
      <c r="A27" s="67"/>
      <c r="B27" s="67"/>
      <c r="C27" s="67"/>
      <c r="D27" s="112"/>
      <c r="E27" s="112"/>
      <c r="F27" s="112"/>
      <c r="G27" s="67"/>
      <c r="H27" s="67"/>
      <c r="I27" s="67"/>
    </row>
    <row r="28" spans="1:9" ht="15">
      <c r="A28" s="67"/>
      <c r="B28" s="69" t="s">
        <v>126</v>
      </c>
      <c r="C28" s="67"/>
      <c r="D28" s="67"/>
      <c r="E28" s="67"/>
      <c r="F28" s="67"/>
      <c r="G28" s="67"/>
      <c r="H28" s="67"/>
      <c r="I28" s="67"/>
    </row>
    <row r="29" spans="1:9" ht="15">
      <c r="A29" s="67"/>
      <c r="B29" s="67" t="s">
        <v>103</v>
      </c>
      <c r="E29" s="124">
        <v>0.8</v>
      </c>
      <c r="H29" s="67"/>
      <c r="I29" s="67"/>
    </row>
    <row r="30" spans="1:9" ht="14.25">
      <c r="A30" s="67"/>
      <c r="D30" s="67"/>
      <c r="E30" s="67"/>
      <c r="F30" s="67"/>
      <c r="H30" s="67"/>
      <c r="I30" s="67"/>
    </row>
    <row r="31" spans="1:9" ht="15">
      <c r="A31" s="67"/>
      <c r="B31" s="69"/>
      <c r="C31" s="68" t="s">
        <v>4</v>
      </c>
      <c r="D31" s="68" t="s">
        <v>5</v>
      </c>
      <c r="E31" s="68" t="s">
        <v>6</v>
      </c>
      <c r="F31" s="68" t="s">
        <v>7</v>
      </c>
      <c r="G31" s="67"/>
      <c r="H31" s="67"/>
      <c r="I31" s="67"/>
    </row>
    <row r="32" spans="1:9" ht="15">
      <c r="A32" s="67"/>
      <c r="B32" s="143" t="s">
        <v>80</v>
      </c>
      <c r="C32" s="68" t="s">
        <v>9</v>
      </c>
      <c r="D32" s="68" t="s">
        <v>10</v>
      </c>
      <c r="E32" s="68" t="s">
        <v>11</v>
      </c>
      <c r="F32" s="144" t="s">
        <v>12</v>
      </c>
      <c r="G32" s="67"/>
      <c r="H32" s="67"/>
      <c r="I32" s="67"/>
    </row>
    <row r="33" spans="1:9" ht="15">
      <c r="A33" s="67"/>
      <c r="B33" s="66" t="s">
        <v>90</v>
      </c>
      <c r="C33" s="119">
        <v>0</v>
      </c>
      <c r="D33" s="119">
        <v>5</v>
      </c>
      <c r="E33" s="119">
        <v>5</v>
      </c>
      <c r="F33" s="119">
        <v>40</v>
      </c>
      <c r="G33" s="67"/>
      <c r="H33" s="67"/>
      <c r="I33" s="67"/>
    </row>
    <row r="34" spans="1:9" ht="15">
      <c r="A34" s="67"/>
      <c r="B34" s="67" t="s">
        <v>14</v>
      </c>
      <c r="C34" s="119">
        <v>0</v>
      </c>
      <c r="D34" s="119">
        <v>25</v>
      </c>
      <c r="E34" s="119">
        <v>4</v>
      </c>
      <c r="F34" s="119">
        <v>40</v>
      </c>
      <c r="G34" s="67"/>
      <c r="H34" s="67"/>
      <c r="I34" s="67"/>
    </row>
    <row r="35" spans="1:9" ht="15">
      <c r="A35" s="67"/>
      <c r="B35" s="67" t="s">
        <v>91</v>
      </c>
      <c r="C35" s="119">
        <v>3</v>
      </c>
      <c r="D35" s="119">
        <v>5</v>
      </c>
      <c r="E35" s="119">
        <v>4</v>
      </c>
      <c r="F35" s="119">
        <v>50</v>
      </c>
      <c r="G35" s="67"/>
      <c r="H35" s="67"/>
      <c r="I35" s="67"/>
    </row>
    <row r="36" spans="1:9" ht="15">
      <c r="A36" s="67"/>
      <c r="B36" s="67" t="s">
        <v>137</v>
      </c>
      <c r="C36" s="119">
        <v>0</v>
      </c>
      <c r="D36" s="119">
        <v>5</v>
      </c>
      <c r="E36" s="119">
        <v>3</v>
      </c>
      <c r="F36" s="119">
        <v>40</v>
      </c>
      <c r="G36" s="67"/>
      <c r="H36" s="67"/>
      <c r="I36" s="67"/>
    </row>
    <row r="37" spans="1:9" ht="15">
      <c r="A37" s="67"/>
      <c r="B37" s="67" t="s">
        <v>3</v>
      </c>
      <c r="C37" s="119">
        <v>0</v>
      </c>
      <c r="D37" s="119">
        <v>40</v>
      </c>
      <c r="E37" s="119">
        <v>7</v>
      </c>
      <c r="F37" s="119">
        <v>40</v>
      </c>
      <c r="G37" s="67"/>
      <c r="H37" s="67"/>
      <c r="I37" s="67"/>
    </row>
    <row r="38" spans="1:9" ht="15">
      <c r="A38" s="67"/>
      <c r="B38" s="67" t="s">
        <v>183</v>
      </c>
      <c r="C38" s="119">
        <v>0</v>
      </c>
      <c r="D38" s="119">
        <v>16.5</v>
      </c>
      <c r="E38" s="119">
        <v>2</v>
      </c>
      <c r="F38" s="119">
        <v>40</v>
      </c>
      <c r="G38" s="67"/>
      <c r="H38" s="67"/>
      <c r="I38" s="67"/>
    </row>
    <row r="39" spans="1:9" ht="15">
      <c r="A39" s="67"/>
      <c r="B39" s="67"/>
      <c r="D39" s="67"/>
      <c r="E39" s="67"/>
      <c r="F39" s="111"/>
      <c r="G39" s="67"/>
      <c r="H39" s="67"/>
      <c r="I39" s="67"/>
    </row>
    <row r="40" spans="1:9" ht="15">
      <c r="A40" s="67"/>
      <c r="B40" s="69" t="s">
        <v>101</v>
      </c>
      <c r="C40" s="67"/>
      <c r="D40" s="67"/>
      <c r="E40" s="67"/>
      <c r="F40" s="67"/>
      <c r="G40" s="67"/>
      <c r="H40" s="67"/>
      <c r="I40" s="67"/>
    </row>
    <row r="41" spans="1:9" ht="15">
      <c r="A41" s="67"/>
      <c r="B41" s="67" t="s">
        <v>133</v>
      </c>
      <c r="D41" s="67"/>
      <c r="E41" s="67"/>
      <c r="F41" s="119">
        <v>0</v>
      </c>
      <c r="H41" s="67"/>
      <c r="I41" s="67"/>
    </row>
    <row r="42" spans="1:9" ht="15">
      <c r="A42" s="67"/>
      <c r="B42" s="67" t="s">
        <v>134</v>
      </c>
      <c r="D42" s="67"/>
      <c r="E42" s="67"/>
      <c r="F42" s="145">
        <v>0</v>
      </c>
      <c r="H42" s="67"/>
      <c r="I42" s="67"/>
    </row>
    <row r="43" spans="1:9" ht="15">
      <c r="A43" s="67"/>
      <c r="B43" s="67" t="s">
        <v>135</v>
      </c>
      <c r="D43" s="67"/>
      <c r="E43" s="67"/>
      <c r="F43" s="111">
        <v>0</v>
      </c>
      <c r="H43" s="67"/>
      <c r="I43" s="67"/>
    </row>
    <row r="44" spans="1:9" ht="15">
      <c r="A44" s="67"/>
      <c r="B44" s="67"/>
      <c r="C44" s="67"/>
      <c r="D44" s="67"/>
      <c r="E44" s="67"/>
      <c r="F44" s="111"/>
      <c r="G44" s="67"/>
      <c r="H44" s="67"/>
      <c r="I44" s="67"/>
    </row>
    <row r="45" spans="1:9" ht="15">
      <c r="A45" s="67"/>
      <c r="B45" s="69" t="s">
        <v>136</v>
      </c>
      <c r="C45" s="67"/>
      <c r="D45" s="67"/>
      <c r="E45" s="67"/>
      <c r="F45" s="111"/>
      <c r="G45" s="67"/>
      <c r="H45" s="67"/>
      <c r="I45" s="67"/>
    </row>
    <row r="46" spans="1:9" ht="15">
      <c r="A46" s="67"/>
      <c r="B46" s="69"/>
      <c r="C46" s="66" t="s">
        <v>240</v>
      </c>
      <c r="F46" s="111">
        <v>500</v>
      </c>
      <c r="G46" s="67"/>
      <c r="H46" s="67"/>
      <c r="I46" s="67"/>
    </row>
    <row r="47" spans="1:9" ht="15">
      <c r="A47" s="67"/>
      <c r="B47" s="67"/>
      <c r="C47" s="66" t="s">
        <v>241</v>
      </c>
      <c r="F47" s="133">
        <v>310</v>
      </c>
      <c r="G47" s="67"/>
      <c r="H47" s="67"/>
      <c r="I47" s="67"/>
    </row>
    <row r="48" spans="1:9" ht="14.25">
      <c r="A48" s="67"/>
      <c r="B48" s="67"/>
      <c r="G48" s="67"/>
      <c r="H48" s="67"/>
      <c r="I48" s="67"/>
    </row>
    <row r="49" spans="1:9" ht="15">
      <c r="A49" s="67"/>
      <c r="B49" s="69" t="s">
        <v>68</v>
      </c>
      <c r="C49" s="67"/>
      <c r="D49" s="67"/>
      <c r="E49" s="67"/>
      <c r="F49" s="67"/>
      <c r="G49" s="67"/>
      <c r="H49" s="67"/>
      <c r="I49" s="67"/>
    </row>
    <row r="50" spans="1:9" ht="15">
      <c r="A50" s="67"/>
      <c r="B50" s="67"/>
      <c r="C50" s="67" t="s">
        <v>75</v>
      </c>
      <c r="D50" s="67"/>
      <c r="E50" s="67"/>
      <c r="F50" s="113">
        <v>0.015</v>
      </c>
      <c r="G50" s="67"/>
      <c r="H50" s="67"/>
      <c r="I50" s="67"/>
    </row>
    <row r="51" spans="1:9" ht="14.25">
      <c r="A51" s="67"/>
      <c r="B51" s="67"/>
      <c r="C51" s="67"/>
      <c r="D51" s="67"/>
      <c r="E51" s="67"/>
      <c r="F51" s="67"/>
      <c r="G51" s="67"/>
      <c r="H51" s="67"/>
      <c r="I51" s="67"/>
    </row>
    <row r="52" spans="1:9" ht="15">
      <c r="A52" s="67"/>
      <c r="B52" s="69" t="s">
        <v>69</v>
      </c>
      <c r="C52" s="67"/>
      <c r="D52" s="67"/>
      <c r="E52" s="67"/>
      <c r="F52" s="111"/>
      <c r="G52" s="67"/>
      <c r="H52" s="67"/>
      <c r="I52" s="67"/>
    </row>
    <row r="53" spans="1:9" ht="15">
      <c r="A53" s="67"/>
      <c r="B53" s="69"/>
      <c r="C53" s="67" t="s">
        <v>88</v>
      </c>
      <c r="D53" s="67"/>
      <c r="F53" s="112">
        <v>0</v>
      </c>
      <c r="G53" s="67"/>
      <c r="H53" s="67"/>
      <c r="I53" s="67"/>
    </row>
    <row r="54" spans="1:9" ht="15">
      <c r="A54" s="67"/>
      <c r="B54" s="69"/>
      <c r="C54" s="66" t="s">
        <v>138</v>
      </c>
      <c r="D54" s="67"/>
      <c r="E54" s="67"/>
      <c r="F54" s="111">
        <v>100</v>
      </c>
      <c r="G54" s="67"/>
      <c r="H54" s="67"/>
      <c r="I54" s="67"/>
    </row>
    <row r="55" spans="1:9" ht="15">
      <c r="A55" s="67"/>
      <c r="B55" s="69"/>
      <c r="C55" s="67" t="s">
        <v>139</v>
      </c>
      <c r="D55" s="67"/>
      <c r="E55" s="67"/>
      <c r="F55" s="111">
        <v>0</v>
      </c>
      <c r="G55" s="67"/>
      <c r="H55" s="67"/>
      <c r="I55" s="67"/>
    </row>
    <row r="56" spans="3:7" ht="15">
      <c r="C56" s="67"/>
      <c r="D56" s="67"/>
      <c r="F56" s="112"/>
      <c r="G56" s="67"/>
    </row>
    <row r="57" spans="3:7" ht="14.25">
      <c r="C57" s="67"/>
      <c r="D57" s="67"/>
      <c r="E57" s="67"/>
      <c r="F57" s="67"/>
      <c r="G57" s="67"/>
    </row>
    <row r="58" spans="2:7" ht="15">
      <c r="B58" s="69" t="s">
        <v>20</v>
      </c>
      <c r="C58" s="67"/>
      <c r="D58" s="67"/>
      <c r="E58" s="117"/>
      <c r="F58" s="140"/>
      <c r="G58" s="67"/>
    </row>
    <row r="59" spans="2:7" ht="15">
      <c r="B59" s="67"/>
      <c r="C59" s="67" t="s">
        <v>43</v>
      </c>
      <c r="E59" s="111">
        <v>10</v>
      </c>
      <c r="F59" s="111"/>
      <c r="G59" s="67"/>
    </row>
    <row r="61" ht="15">
      <c r="E61" s="70" t="s">
        <v>155</v>
      </c>
    </row>
    <row r="62" spans="3:5" ht="15">
      <c r="C62" s="66" t="s">
        <v>85</v>
      </c>
      <c r="E62" s="136">
        <v>0</v>
      </c>
    </row>
    <row r="63" spans="3:5" ht="15">
      <c r="C63" s="66" t="s">
        <v>178</v>
      </c>
      <c r="E63" s="136">
        <v>0</v>
      </c>
    </row>
    <row r="64" spans="3:5" ht="15">
      <c r="C64" s="66" t="s">
        <v>91</v>
      </c>
      <c r="E64" s="136">
        <v>1.5</v>
      </c>
    </row>
    <row r="65" spans="3:5" ht="15">
      <c r="C65" s="66" t="s">
        <v>87</v>
      </c>
      <c r="E65" s="136">
        <v>0</v>
      </c>
    </row>
    <row r="66" spans="3:5" ht="15">
      <c r="C66" s="66" t="s">
        <v>183</v>
      </c>
      <c r="E66" s="136">
        <v>166</v>
      </c>
    </row>
    <row r="67" spans="3:5" ht="15">
      <c r="C67" s="66" t="s">
        <v>80</v>
      </c>
      <c r="E67" s="139">
        <f>'Picking Details'!L43</f>
        <v>1.5</v>
      </c>
    </row>
    <row r="68" spans="3:5" ht="15">
      <c r="C68" s="66" t="s">
        <v>142</v>
      </c>
      <c r="E68" s="137">
        <f>SUM(E62:E67)</f>
        <v>169</v>
      </c>
    </row>
  </sheetData>
  <sheetProtection/>
  <mergeCells count="1">
    <mergeCell ref="B2:G2"/>
  </mergeCells>
  <printOptions/>
  <pageMargins left="0.748031496062992" right="0.748031496062992" top="0.984251968503937" bottom="0.984251968503937" header="0.511811023622047" footer="0.511811023622047"/>
  <pageSetup horizontalDpi="300" verticalDpi="300" orientation="portrait" r:id="rId1"/>
  <headerFooter alignWithMargins="0">
    <oddFooter>&amp;RManitoba Agriculture and Food
&amp;"Arial,Italic"Farm Managemen&amp;"Arial,Regular"t</oddFooter>
  </headerFooter>
  <rowBreaks count="1" manualBreakCount="1">
    <brk id="38" max="255" man="1"/>
  </rowBreaks>
</worksheet>
</file>

<file path=xl/worksheets/sheet7.xml><?xml version="1.0" encoding="utf-8"?>
<worksheet xmlns="http://schemas.openxmlformats.org/spreadsheetml/2006/main" xmlns:r="http://schemas.openxmlformats.org/officeDocument/2006/relationships">
  <sheetPr codeName="Sheet31"/>
  <dimension ref="A2:M132"/>
  <sheetViews>
    <sheetView zoomScalePageLayoutView="0" workbookViewId="0" topLeftCell="A115">
      <selection activeCell="A134" sqref="A134"/>
    </sheetView>
  </sheetViews>
  <sheetFormatPr defaultColWidth="8.88671875" defaultRowHeight="15"/>
  <cols>
    <col min="1" max="1" width="3.10546875" style="22" customWidth="1"/>
    <col min="2" max="2" width="15.6640625" style="22" customWidth="1"/>
    <col min="3" max="3" width="3.5546875" style="22" customWidth="1"/>
    <col min="4" max="4" width="9.88671875" style="22" customWidth="1"/>
    <col min="5" max="5" width="2.21484375" style="22" customWidth="1"/>
    <col min="6" max="6" width="9.99609375" style="22" customWidth="1"/>
    <col min="7" max="7" width="4.3359375" style="22" customWidth="1"/>
    <col min="8" max="8" width="4.99609375" style="22" bestFit="1" customWidth="1"/>
    <col min="9" max="9" width="11.4453125" style="22" customWidth="1"/>
    <col min="10" max="10" width="8.88671875" style="22" customWidth="1"/>
    <col min="11" max="11" width="10.4453125" style="22" customWidth="1"/>
    <col min="12" max="16384" width="8.88671875" style="22" customWidth="1"/>
  </cols>
  <sheetData>
    <row r="2" spans="1:9" ht="12.75">
      <c r="A2" s="146" t="s">
        <v>189</v>
      </c>
      <c r="B2" s="76"/>
      <c r="C2" s="76"/>
      <c r="D2" s="76"/>
      <c r="E2" s="76"/>
      <c r="F2" s="76"/>
      <c r="G2" s="76"/>
      <c r="H2" s="76"/>
      <c r="I2" s="76"/>
    </row>
    <row r="3" spans="3:7" ht="15" customHeight="1">
      <c r="C3" s="146" t="s">
        <v>157</v>
      </c>
      <c r="D3" s="76"/>
      <c r="E3" s="76"/>
      <c r="F3" s="76"/>
      <c r="G3" s="76"/>
    </row>
    <row r="4" ht="12.75">
      <c r="D4" s="26"/>
    </row>
    <row r="5" ht="12.75">
      <c r="I5" s="31" t="s">
        <v>59</v>
      </c>
    </row>
    <row r="6" ht="12.75">
      <c r="A6" s="26" t="s">
        <v>29</v>
      </c>
    </row>
    <row r="7" ht="12.75">
      <c r="A7" s="26"/>
    </row>
    <row r="8" spans="1:2" ht="12.75">
      <c r="A8" s="26"/>
      <c r="B8" s="26" t="s">
        <v>160</v>
      </c>
    </row>
    <row r="9" spans="1:9" ht="12.75">
      <c r="A9" s="26"/>
      <c r="D9" s="36">
        <f>' Summary'!F33</f>
        <v>9785.904444444444</v>
      </c>
      <c r="F9" s="22" t="s">
        <v>122</v>
      </c>
      <c r="I9" s="30"/>
    </row>
    <row r="10" spans="1:9" ht="12.75">
      <c r="A10" s="26"/>
      <c r="C10" s="31" t="s">
        <v>36</v>
      </c>
      <c r="D10" s="25">
        <f>COUNT(Assumptions!D12:D31)</f>
        <v>20</v>
      </c>
      <c r="E10" s="25"/>
      <c r="F10" s="25" t="s">
        <v>123</v>
      </c>
      <c r="I10" s="30"/>
    </row>
    <row r="11" spans="1:9" ht="12.75">
      <c r="A11" s="26"/>
      <c r="C11" s="28" t="s">
        <v>31</v>
      </c>
      <c r="D11" s="34">
        <f>ROUND(D9/D10,2)</f>
        <v>489.3</v>
      </c>
      <c r="E11" s="26"/>
      <c r="F11" s="26" t="s">
        <v>63</v>
      </c>
      <c r="I11" s="30"/>
    </row>
    <row r="12" spans="3:9" ht="12.75">
      <c r="C12" s="28"/>
      <c r="D12" s="39"/>
      <c r="E12" s="26"/>
      <c r="F12" s="26"/>
      <c r="I12" s="35"/>
    </row>
    <row r="13" ht="12.75">
      <c r="B13" s="26" t="s">
        <v>22</v>
      </c>
    </row>
    <row r="14" spans="3:9" ht="12.75">
      <c r="C14" s="27"/>
      <c r="D14" s="36">
        <f>Picking!E11</f>
        <v>0</v>
      </c>
      <c r="F14" s="22" t="s">
        <v>49</v>
      </c>
      <c r="I14" s="30"/>
    </row>
    <row r="15" spans="2:6" ht="12.75">
      <c r="B15" s="44" t="s">
        <v>74</v>
      </c>
      <c r="C15" s="27" t="s">
        <v>32</v>
      </c>
      <c r="D15" s="36">
        <f>Picking!E12</f>
        <v>0</v>
      </c>
      <c r="F15" s="22" t="s">
        <v>49</v>
      </c>
    </row>
    <row r="16" spans="2:9" ht="12.75">
      <c r="B16" s="51" t="s">
        <v>71</v>
      </c>
      <c r="C16" s="27" t="s">
        <v>31</v>
      </c>
      <c r="D16" s="39">
        <f>D14+D15</f>
        <v>0</v>
      </c>
      <c r="F16" s="26" t="s">
        <v>49</v>
      </c>
      <c r="I16" s="33"/>
    </row>
    <row r="17" spans="3:9" ht="12.75">
      <c r="C17" s="28"/>
      <c r="D17" s="105"/>
      <c r="E17" s="26"/>
      <c r="F17" s="26"/>
      <c r="I17" s="30"/>
    </row>
    <row r="18" ht="12.75">
      <c r="B18" s="26" t="s">
        <v>65</v>
      </c>
    </row>
    <row r="19" spans="3:9" ht="12.75">
      <c r="C19" s="27"/>
      <c r="D19" s="36">
        <f>Picking!E15</f>
        <v>0</v>
      </c>
      <c r="F19" s="22" t="s">
        <v>49</v>
      </c>
      <c r="I19" s="30"/>
    </row>
    <row r="20" spans="3:9" ht="12.75">
      <c r="C20" s="31" t="s">
        <v>32</v>
      </c>
      <c r="D20" s="37">
        <f>Picking!E16</f>
        <v>0</v>
      </c>
      <c r="E20" s="25"/>
      <c r="F20" s="22" t="s">
        <v>49</v>
      </c>
      <c r="I20" s="30"/>
    </row>
    <row r="21" spans="3:9" ht="12.75">
      <c r="C21" s="27" t="s">
        <v>31</v>
      </c>
      <c r="D21" s="34">
        <f>D19+D20</f>
        <v>0</v>
      </c>
      <c r="F21" s="26" t="s">
        <v>49</v>
      </c>
      <c r="I21" s="30"/>
    </row>
    <row r="23" spans="2:9" ht="12.75">
      <c r="B23" s="26" t="s">
        <v>111</v>
      </c>
      <c r="C23" s="27"/>
      <c r="D23" s="147"/>
      <c r="I23" s="35"/>
    </row>
    <row r="24" spans="3:9" ht="12.75">
      <c r="C24" s="28"/>
      <c r="D24" s="38">
        <f>Picking!E19</f>
        <v>0</v>
      </c>
      <c r="F24" s="22" t="s">
        <v>49</v>
      </c>
      <c r="I24" s="30"/>
    </row>
    <row r="25" spans="3:9" ht="12.75">
      <c r="C25" s="63" t="s">
        <v>32</v>
      </c>
      <c r="D25" s="32">
        <f>Picking!E20</f>
        <v>0</v>
      </c>
      <c r="E25" s="25"/>
      <c r="F25" s="22" t="s">
        <v>49</v>
      </c>
      <c r="I25" s="30"/>
    </row>
    <row r="26" spans="3:9" ht="12.75">
      <c r="C26" s="28" t="s">
        <v>31</v>
      </c>
      <c r="D26" s="39">
        <f>SUM(D24:D25)</f>
        <v>0</v>
      </c>
      <c r="F26" s="26" t="s">
        <v>49</v>
      </c>
      <c r="I26" s="30"/>
    </row>
    <row r="28" ht="12.75">
      <c r="B28" s="26" t="s">
        <v>125</v>
      </c>
    </row>
    <row r="29" spans="4:9" ht="12.75">
      <c r="D29" s="36">
        <f>Picking!E24</f>
        <v>0</v>
      </c>
      <c r="F29" s="22" t="s">
        <v>49</v>
      </c>
      <c r="I29" s="30"/>
    </row>
    <row r="30" spans="3:9" ht="12.75">
      <c r="C30" s="27" t="s">
        <v>32</v>
      </c>
      <c r="D30" s="36">
        <f>Picking!E25</f>
        <v>0</v>
      </c>
      <c r="F30" s="22" t="s">
        <v>49</v>
      </c>
      <c r="I30" s="30"/>
    </row>
    <row r="31" spans="3:9" ht="12.75">
      <c r="C31" s="31"/>
      <c r="D31" s="37">
        <f>Picking!E26</f>
        <v>0</v>
      </c>
      <c r="E31" s="25"/>
      <c r="F31" s="22" t="s">
        <v>49</v>
      </c>
      <c r="I31" s="30"/>
    </row>
    <row r="32" spans="3:9" ht="12.75">
      <c r="C32" s="28" t="s">
        <v>31</v>
      </c>
      <c r="D32" s="34">
        <f>SUM(D29:D31)</f>
        <v>0</v>
      </c>
      <c r="F32" s="26" t="s">
        <v>49</v>
      </c>
      <c r="I32" s="30"/>
    </row>
    <row r="34" ht="12.75">
      <c r="B34" s="26" t="s">
        <v>113</v>
      </c>
    </row>
    <row r="35" spans="4:13" ht="12.75">
      <c r="D35" s="28" t="s">
        <v>4</v>
      </c>
      <c r="F35" s="28" t="s">
        <v>5</v>
      </c>
      <c r="G35" s="28" t="s">
        <v>6</v>
      </c>
      <c r="H35" s="28" t="s">
        <v>41</v>
      </c>
      <c r="K35" s="27" t="s">
        <v>105</v>
      </c>
      <c r="L35" s="27" t="s">
        <v>127</v>
      </c>
      <c r="M35" s="27" t="s">
        <v>129</v>
      </c>
    </row>
    <row r="36" spans="2:13" ht="12.75">
      <c r="B36" s="61" t="s">
        <v>8</v>
      </c>
      <c r="D36" s="43" t="s">
        <v>9</v>
      </c>
      <c r="F36" s="43" t="s">
        <v>39</v>
      </c>
      <c r="G36" s="43" t="s">
        <v>40</v>
      </c>
      <c r="H36" s="43" t="s">
        <v>42</v>
      </c>
      <c r="K36" s="31" t="s">
        <v>106</v>
      </c>
      <c r="L36" s="31" t="s">
        <v>128</v>
      </c>
      <c r="M36" s="31" t="s">
        <v>130</v>
      </c>
    </row>
    <row r="37" spans="2:13" ht="12.75">
      <c r="B37" s="22" t="s">
        <v>13</v>
      </c>
      <c r="D37" s="27">
        <f>Picking!C33</f>
        <v>0</v>
      </c>
      <c r="F37" s="27">
        <f>Picking!D33</f>
        <v>5</v>
      </c>
      <c r="G37" s="27">
        <f>Picking!E33</f>
        <v>5</v>
      </c>
      <c r="H37" s="45">
        <f>(0.25*(Picking!F33*0.75))*L37*Assumptions!$E$5</f>
        <v>0</v>
      </c>
      <c r="I37" s="30"/>
      <c r="K37" s="46">
        <f aca="true" t="shared" si="0" ref="K37:K42">(F37*G37)/10</f>
        <v>2.5</v>
      </c>
      <c r="L37" s="47">
        <f aca="true" t="shared" si="1" ref="L37:L42">IF(ISERR(1/K37),0,(1/K37)*D37)</f>
        <v>0</v>
      </c>
      <c r="M37" s="46">
        <f aca="true" t="shared" si="2" ref="M37:M42">0.1*H37</f>
        <v>0</v>
      </c>
    </row>
    <row r="38" spans="2:13" ht="12.75">
      <c r="B38" s="22" t="str">
        <f>Picking!B34</f>
        <v>Spray</v>
      </c>
      <c r="D38" s="27">
        <f>Picking!C34</f>
        <v>0</v>
      </c>
      <c r="F38" s="27">
        <f>Picking!D34</f>
        <v>25</v>
      </c>
      <c r="G38" s="27">
        <f>Picking!E34</f>
        <v>4</v>
      </c>
      <c r="H38" s="45">
        <f>(0.25*(Picking!F34*0.75))*L38*Assumptions!$E$5</f>
        <v>0</v>
      </c>
      <c r="I38" s="30"/>
      <c r="K38" s="46">
        <f t="shared" si="0"/>
        <v>10</v>
      </c>
      <c r="L38" s="47">
        <f t="shared" si="1"/>
        <v>0</v>
      </c>
      <c r="M38" s="46">
        <f t="shared" si="2"/>
        <v>0</v>
      </c>
    </row>
    <row r="39" spans="2:13" ht="12.75">
      <c r="B39" s="22" t="str">
        <f>Picking!B35</f>
        <v>Mowing</v>
      </c>
      <c r="D39" s="27">
        <f>Picking!C35</f>
        <v>3</v>
      </c>
      <c r="F39" s="27">
        <f>Picking!D35</f>
        <v>5</v>
      </c>
      <c r="G39" s="27">
        <f>Picking!E35</f>
        <v>4</v>
      </c>
      <c r="H39" s="45">
        <f>(0.315*(Picking!F35*0.75))*L39*Assumptions!$E$5</f>
        <v>14.175</v>
      </c>
      <c r="I39" s="30"/>
      <c r="K39" s="46">
        <f t="shared" si="0"/>
        <v>2</v>
      </c>
      <c r="L39" s="47">
        <f t="shared" si="1"/>
        <v>1.5</v>
      </c>
      <c r="M39" s="46">
        <f t="shared" si="2"/>
        <v>1.4175000000000002</v>
      </c>
    </row>
    <row r="40" spans="2:13" ht="12.75">
      <c r="B40" s="22" t="s">
        <v>181</v>
      </c>
      <c r="D40" s="27">
        <f>Picking!C36</f>
        <v>0</v>
      </c>
      <c r="F40" s="27">
        <f>Picking!D36</f>
        <v>5</v>
      </c>
      <c r="G40" s="27">
        <f>Picking!E36</f>
        <v>3</v>
      </c>
      <c r="H40" s="45">
        <f>(0.25*(Picking!F36*0.75))*L40*Assumptions!$E$5</f>
        <v>0</v>
      </c>
      <c r="I40" s="30"/>
      <c r="K40" s="46">
        <f t="shared" si="0"/>
        <v>1.5</v>
      </c>
      <c r="L40" s="47">
        <f t="shared" si="1"/>
        <v>0</v>
      </c>
      <c r="M40" s="46">
        <f t="shared" si="2"/>
        <v>0</v>
      </c>
    </row>
    <row r="41" spans="2:13" ht="12.75">
      <c r="B41" s="22" t="str">
        <f>Picking!B37</f>
        <v>Fertilizer</v>
      </c>
      <c r="D41" s="27">
        <f>Picking!C37</f>
        <v>0</v>
      </c>
      <c r="F41" s="27">
        <f>Picking!D37</f>
        <v>40</v>
      </c>
      <c r="G41" s="27">
        <f>Picking!E37</f>
        <v>7</v>
      </c>
      <c r="H41" s="45">
        <f>(0.25*(Picking!F37*0.75))*L41*Assumptions!$E$5</f>
        <v>0</v>
      </c>
      <c r="I41" s="30"/>
      <c r="K41" s="46">
        <f t="shared" si="0"/>
        <v>28</v>
      </c>
      <c r="L41" s="47">
        <f t="shared" si="1"/>
        <v>0</v>
      </c>
      <c r="M41" s="46">
        <f t="shared" si="2"/>
        <v>0</v>
      </c>
    </row>
    <row r="42" spans="2:13" ht="12.75">
      <c r="B42" s="22" t="str">
        <f>Picking!B38</f>
        <v>Harvesting</v>
      </c>
      <c r="D42" s="27">
        <f>Picking!C38</f>
        <v>0</v>
      </c>
      <c r="F42" s="27">
        <v>5</v>
      </c>
      <c r="G42" s="27">
        <f>Picking!E38</f>
        <v>2</v>
      </c>
      <c r="H42" s="48">
        <f>(0.25*(Picking!F38*0.75))*L42*Assumptions!$E$5</f>
        <v>0</v>
      </c>
      <c r="I42" s="30"/>
      <c r="K42" s="49">
        <f t="shared" si="0"/>
        <v>1</v>
      </c>
      <c r="L42" s="50">
        <f t="shared" si="1"/>
        <v>0</v>
      </c>
      <c r="M42" s="49">
        <f t="shared" si="2"/>
        <v>0</v>
      </c>
    </row>
    <row r="43" spans="6:13" ht="12.75">
      <c r="F43" s="27"/>
      <c r="H43" s="52">
        <f>ROUND(SUM(H37:H42),2)</f>
        <v>14.18</v>
      </c>
      <c r="I43" s="30"/>
      <c r="K43" s="46">
        <f>SUM(K37:K42)</f>
        <v>45</v>
      </c>
      <c r="L43" s="47">
        <f>SUM(L37:L42)</f>
        <v>1.5</v>
      </c>
      <c r="M43" s="46">
        <f>SUM(M37:M42)</f>
        <v>1.4175000000000002</v>
      </c>
    </row>
    <row r="44" spans="6:13" ht="12.75">
      <c r="F44" s="27"/>
      <c r="H44" s="52"/>
      <c r="K44" s="46"/>
      <c r="L44" s="47"/>
      <c r="M44" s="46"/>
    </row>
    <row r="45" spans="2:13" ht="12.75">
      <c r="B45" s="26" t="s">
        <v>102</v>
      </c>
      <c r="K45" s="46"/>
      <c r="L45" s="47"/>
      <c r="M45" s="46"/>
    </row>
    <row r="46" spans="4:13" ht="12.75">
      <c r="D46" s="22">
        <f>Picking!F41</f>
        <v>0</v>
      </c>
      <c r="F46" s="22" t="s">
        <v>115</v>
      </c>
      <c r="I46" s="30"/>
      <c r="K46" s="46"/>
      <c r="L46" s="47"/>
      <c r="M46" s="46"/>
    </row>
    <row r="47" spans="3:13" ht="12.75">
      <c r="C47" s="27" t="s">
        <v>30</v>
      </c>
      <c r="D47" s="22">
        <f>Picking!F42</f>
        <v>0</v>
      </c>
      <c r="F47" s="22" t="s">
        <v>158</v>
      </c>
      <c r="I47" s="30"/>
      <c r="K47" s="46"/>
      <c r="L47" s="47"/>
      <c r="M47" s="46"/>
    </row>
    <row r="48" spans="3:13" ht="12.75">
      <c r="C48" s="31" t="s">
        <v>30</v>
      </c>
      <c r="D48" s="32">
        <f>Picking!F43</f>
        <v>0</v>
      </c>
      <c r="E48" s="25"/>
      <c r="F48" s="25" t="s">
        <v>116</v>
      </c>
      <c r="I48" s="30"/>
      <c r="K48" s="46"/>
      <c r="L48" s="47"/>
      <c r="M48" s="46"/>
    </row>
    <row r="49" spans="3:13" ht="12.75">
      <c r="C49" s="28" t="s">
        <v>31</v>
      </c>
      <c r="D49" s="39">
        <f>(D46*D47)*D48</f>
        <v>0</v>
      </c>
      <c r="E49" s="26"/>
      <c r="F49" s="26" t="s">
        <v>63</v>
      </c>
      <c r="I49" s="30"/>
      <c r="K49" s="46"/>
      <c r="L49" s="47"/>
      <c r="M49" s="46"/>
    </row>
    <row r="50" spans="6:13" ht="12.75">
      <c r="F50" s="27"/>
      <c r="H50" s="52"/>
      <c r="K50" s="46"/>
      <c r="L50" s="47"/>
      <c r="M50" s="46"/>
    </row>
    <row r="51" ht="12.75">
      <c r="B51" s="26" t="s">
        <v>151</v>
      </c>
    </row>
    <row r="52" spans="3:9" ht="12.75">
      <c r="C52" s="25"/>
      <c r="D52" s="36">
        <f>Picking!F46</f>
        <v>500</v>
      </c>
      <c r="F52" s="22" t="s">
        <v>242</v>
      </c>
      <c r="I52" s="30"/>
    </row>
    <row r="53" spans="3:9" ht="12.75">
      <c r="C53" s="31" t="s">
        <v>32</v>
      </c>
      <c r="D53" s="36">
        <f>Picking!F47</f>
        <v>310</v>
      </c>
      <c r="F53" s="22" t="s">
        <v>243</v>
      </c>
      <c r="I53" s="30"/>
    </row>
    <row r="54" spans="3:9" ht="12.75">
      <c r="C54" s="31" t="s">
        <v>36</v>
      </c>
      <c r="D54" s="25">
        <f>Assumptions!E2</f>
        <v>5</v>
      </c>
      <c r="E54" s="25"/>
      <c r="F54" s="25" t="s">
        <v>73</v>
      </c>
      <c r="I54" s="30"/>
    </row>
    <row r="55" spans="3:9" ht="12.75">
      <c r="C55" s="28" t="s">
        <v>31</v>
      </c>
      <c r="D55" s="34">
        <f>(D52+D53)/D54</f>
        <v>162</v>
      </c>
      <c r="E55" s="26"/>
      <c r="F55" s="26" t="s">
        <v>63</v>
      </c>
      <c r="I55" s="30"/>
    </row>
    <row r="57" ht="12.75">
      <c r="B57" s="26" t="s">
        <v>114</v>
      </c>
    </row>
    <row r="58" spans="3:9" ht="12.75">
      <c r="C58" s="60"/>
      <c r="D58" s="55">
        <f>Picking!F50</f>
        <v>0.015</v>
      </c>
      <c r="F58" s="22" t="s">
        <v>44</v>
      </c>
      <c r="I58" s="30"/>
    </row>
    <row r="59" spans="3:9" ht="12.75">
      <c r="C59" s="63" t="s">
        <v>30</v>
      </c>
      <c r="D59" s="148">
        <f>Assumptions!D63</f>
        <v>13300</v>
      </c>
      <c r="F59" s="25" t="s">
        <v>45</v>
      </c>
      <c r="I59" s="30"/>
    </row>
    <row r="60" spans="3:9" ht="12.75">
      <c r="C60" s="60" t="s">
        <v>31</v>
      </c>
      <c r="D60" s="34">
        <f>ROUND(D58*D59,2)</f>
        <v>199.5</v>
      </c>
      <c r="F60" s="26" t="s">
        <v>49</v>
      </c>
      <c r="I60" s="30"/>
    </row>
    <row r="61" spans="3:9" ht="12.75">
      <c r="C61" s="60"/>
      <c r="D61" s="34"/>
      <c r="F61" s="26"/>
      <c r="I61" s="35"/>
    </row>
    <row r="62" spans="2:3" ht="12.75">
      <c r="B62" s="26" t="s">
        <v>145</v>
      </c>
      <c r="C62" s="27"/>
    </row>
    <row r="63" spans="3:9" ht="12.75">
      <c r="C63" s="27"/>
      <c r="D63" s="38">
        <f>Picking!F53+Picking!F54+Picking!F55</f>
        <v>100</v>
      </c>
      <c r="F63" s="22" t="s">
        <v>49</v>
      </c>
      <c r="I63" s="30"/>
    </row>
    <row r="64" spans="3:9" ht="12.75">
      <c r="C64" s="31" t="s">
        <v>36</v>
      </c>
      <c r="D64" s="25">
        <f>Assumptions!E2</f>
        <v>5</v>
      </c>
      <c r="E64" s="25"/>
      <c r="F64" s="25" t="s">
        <v>73</v>
      </c>
      <c r="I64" s="30"/>
    </row>
    <row r="65" spans="3:9" ht="12.75">
      <c r="C65" s="28" t="s">
        <v>31</v>
      </c>
      <c r="D65" s="34">
        <f>ROUND(D63/D64,2)</f>
        <v>20</v>
      </c>
      <c r="E65" s="26"/>
      <c r="F65" s="26" t="s">
        <v>63</v>
      </c>
      <c r="I65" s="30"/>
    </row>
    <row r="66" ht="12.75">
      <c r="C66" s="27"/>
    </row>
    <row r="67" spans="2:3" ht="12.75">
      <c r="B67" s="26" t="s">
        <v>146</v>
      </c>
      <c r="C67" s="27"/>
    </row>
    <row r="68" spans="3:9" ht="12.75">
      <c r="C68" s="27" t="s">
        <v>31</v>
      </c>
      <c r="D68" s="39">
        <f>Assumptions!E4</f>
        <v>6</v>
      </c>
      <c r="F68" s="26" t="s">
        <v>49</v>
      </c>
      <c r="I68" s="30"/>
    </row>
    <row r="69" ht="12.75">
      <c r="D69" s="38"/>
    </row>
    <row r="70" ht="12.75">
      <c r="B70" s="26" t="s">
        <v>147</v>
      </c>
    </row>
    <row r="71" spans="3:9" ht="12.75">
      <c r="C71" s="27"/>
      <c r="D71" s="38">
        <f>' Summary'!G17</f>
        <v>890.98</v>
      </c>
      <c r="F71" s="22" t="s">
        <v>159</v>
      </c>
      <c r="I71" s="30"/>
    </row>
    <row r="72" spans="3:9" ht="12.75">
      <c r="C72" s="27" t="s">
        <v>36</v>
      </c>
      <c r="D72" s="29">
        <v>2</v>
      </c>
      <c r="F72" s="22" t="s">
        <v>50</v>
      </c>
      <c r="I72" s="33"/>
    </row>
    <row r="73" spans="3:9" ht="12.75">
      <c r="C73" s="31" t="s">
        <v>30</v>
      </c>
      <c r="D73" s="59">
        <f>Assumptions!E6</f>
        <v>0.06</v>
      </c>
      <c r="E73" s="25"/>
      <c r="F73" s="25" t="s">
        <v>51</v>
      </c>
      <c r="G73" s="25"/>
      <c r="I73" s="33"/>
    </row>
    <row r="74" spans="3:9" ht="12.75">
      <c r="C74" s="60" t="s">
        <v>31</v>
      </c>
      <c r="D74" s="34">
        <f>(D71/D72)*D73</f>
        <v>26.7294</v>
      </c>
      <c r="F74" s="26" t="s">
        <v>49</v>
      </c>
      <c r="I74" s="33"/>
    </row>
    <row r="76" ht="12.75">
      <c r="A76" s="26" t="s">
        <v>37</v>
      </c>
    </row>
    <row r="78" spans="2:6" ht="12.75">
      <c r="B78" s="26" t="s">
        <v>48</v>
      </c>
      <c r="D78" s="61" t="s">
        <v>62</v>
      </c>
      <c r="E78" s="25"/>
      <c r="F78" s="25"/>
    </row>
    <row r="79" spans="4:8" ht="12.75">
      <c r="D79" s="28" t="s">
        <v>72</v>
      </c>
      <c r="E79" s="27"/>
      <c r="F79" s="27"/>
      <c r="H79" s="26"/>
    </row>
    <row r="80" spans="4:6" ht="12.75">
      <c r="D80" s="28"/>
      <c r="E80" s="27"/>
      <c r="F80" s="27"/>
    </row>
    <row r="81" ht="12.75">
      <c r="B81" s="26" t="s">
        <v>25</v>
      </c>
    </row>
    <row r="82" spans="4:9" ht="12.75">
      <c r="D82" s="38">
        <f>Assumptions!D61</f>
        <v>8800</v>
      </c>
      <c r="F82" s="22" t="s">
        <v>52</v>
      </c>
      <c r="I82" s="30"/>
    </row>
    <row r="83" spans="3:9" ht="12.75">
      <c r="C83" s="27" t="s">
        <v>38</v>
      </c>
      <c r="D83" s="38">
        <f>Assumptions!D61*Assumptions!H50</f>
        <v>879.9999999999999</v>
      </c>
      <c r="F83" s="22" t="s">
        <v>53</v>
      </c>
      <c r="G83" s="25"/>
      <c r="I83" s="33"/>
    </row>
    <row r="84" spans="3:9" ht="12.75">
      <c r="C84" s="31" t="s">
        <v>36</v>
      </c>
      <c r="D84" s="57">
        <f>Assumptions!G50</f>
        <v>10</v>
      </c>
      <c r="E84" s="25"/>
      <c r="F84" s="25" t="s">
        <v>54</v>
      </c>
      <c r="I84" s="33"/>
    </row>
    <row r="85" spans="3:9" ht="12.75">
      <c r="C85" s="60" t="s">
        <v>31</v>
      </c>
      <c r="D85" s="34">
        <f>ROUND((D82-D83)/D84,2)</f>
        <v>792</v>
      </c>
      <c r="F85" s="26" t="s">
        <v>49</v>
      </c>
      <c r="I85" s="33"/>
    </row>
    <row r="87" spans="2:9" ht="12.75">
      <c r="B87" s="26" t="s">
        <v>162</v>
      </c>
      <c r="I87" s="35"/>
    </row>
    <row r="88" spans="3:9" ht="12.75">
      <c r="C88" s="27"/>
      <c r="D88" s="38">
        <f>Assumptions!D62</f>
        <v>4000</v>
      </c>
      <c r="F88" s="22" t="s">
        <v>52</v>
      </c>
      <c r="I88" s="30"/>
    </row>
    <row r="89" spans="3:9" ht="12.75">
      <c r="C89" s="27" t="s">
        <v>38</v>
      </c>
      <c r="D89" s="38">
        <f>Assumptions!D62*Assumptions!H57</f>
        <v>400</v>
      </c>
      <c r="F89" s="22" t="s">
        <v>53</v>
      </c>
      <c r="I89" s="33"/>
    </row>
    <row r="90" spans="3:9" ht="12.75">
      <c r="C90" s="31" t="s">
        <v>36</v>
      </c>
      <c r="D90" s="57">
        <f>Assumptions!G57</f>
        <v>15</v>
      </c>
      <c r="F90" s="25" t="s">
        <v>54</v>
      </c>
      <c r="I90" s="33"/>
    </row>
    <row r="91" spans="3:9" ht="12.75">
      <c r="C91" s="60" t="s">
        <v>31</v>
      </c>
      <c r="D91" s="34">
        <f>(+D88-D89)/D90</f>
        <v>240</v>
      </c>
      <c r="F91" s="26" t="s">
        <v>49</v>
      </c>
      <c r="I91" s="33"/>
    </row>
    <row r="92" ht="12.75">
      <c r="C92" s="27"/>
    </row>
    <row r="93" ht="12.75">
      <c r="C93" s="27"/>
    </row>
    <row r="94" spans="2:9" ht="12.75">
      <c r="B94" s="26" t="s">
        <v>47</v>
      </c>
      <c r="C94" s="27"/>
      <c r="D94" s="61" t="s">
        <v>264</v>
      </c>
      <c r="I94" s="35"/>
    </row>
    <row r="95" spans="3:9" ht="12.75">
      <c r="C95" s="27"/>
      <c r="E95" s="28">
        <v>2</v>
      </c>
      <c r="I95" s="35"/>
    </row>
    <row r="96" spans="3:9" ht="12.75">
      <c r="C96" s="27"/>
      <c r="I96" s="35"/>
    </row>
    <row r="97" spans="2:9" ht="12.75">
      <c r="B97" s="26" t="s">
        <v>26</v>
      </c>
      <c r="C97" s="27"/>
      <c r="I97" s="35"/>
    </row>
    <row r="98" spans="3:9" ht="12.75">
      <c r="C98" s="27"/>
      <c r="D98" s="38">
        <f>Assumptions!E3</f>
        <v>500</v>
      </c>
      <c r="F98" s="22" t="s">
        <v>52</v>
      </c>
      <c r="I98" s="30"/>
    </row>
    <row r="99" spans="3:9" ht="12.75">
      <c r="C99" s="31" t="s">
        <v>30</v>
      </c>
      <c r="D99" s="59">
        <f>Assumptions!E7</f>
        <v>0.04</v>
      </c>
      <c r="E99" s="25"/>
      <c r="F99" s="25" t="s">
        <v>55</v>
      </c>
      <c r="I99" s="30"/>
    </row>
    <row r="100" spans="3:9" ht="12.75">
      <c r="C100" s="62" t="s">
        <v>31</v>
      </c>
      <c r="D100" s="34">
        <f>(+D98*D99)</f>
        <v>20</v>
      </c>
      <c r="F100" s="26" t="s">
        <v>49</v>
      </c>
      <c r="I100" s="30"/>
    </row>
    <row r="101" ht="12.75">
      <c r="I101" s="35"/>
    </row>
    <row r="102" spans="2:9" ht="12.75">
      <c r="B102" s="26" t="s">
        <v>27</v>
      </c>
      <c r="I102" s="35"/>
    </row>
    <row r="103" spans="4:9" ht="12.75">
      <c r="D103" s="38">
        <f>Assumptions!D61</f>
        <v>8800</v>
      </c>
      <c r="F103" s="22" t="s">
        <v>52</v>
      </c>
      <c r="I103" s="30"/>
    </row>
    <row r="104" spans="3:9" ht="12.75">
      <c r="C104" s="27" t="s">
        <v>32</v>
      </c>
      <c r="D104" s="38">
        <f>Assumptions!D61*Assumptions!H50</f>
        <v>879.9999999999999</v>
      </c>
      <c r="F104" s="22" t="s">
        <v>53</v>
      </c>
      <c r="I104" s="30"/>
    </row>
    <row r="105" spans="3:9" ht="12.75">
      <c r="C105" s="27" t="s">
        <v>36</v>
      </c>
      <c r="D105" s="29">
        <v>2</v>
      </c>
      <c r="F105" s="22" t="s">
        <v>50</v>
      </c>
      <c r="I105" s="30"/>
    </row>
    <row r="106" spans="3:9" ht="12.75">
      <c r="C106" s="31" t="s">
        <v>30</v>
      </c>
      <c r="D106" s="59">
        <f>Assumptions!E7</f>
        <v>0.04</v>
      </c>
      <c r="E106" s="25"/>
      <c r="F106" s="25" t="s">
        <v>55</v>
      </c>
      <c r="I106" s="30"/>
    </row>
    <row r="107" spans="3:9" ht="12.75">
      <c r="C107" s="60" t="s">
        <v>31</v>
      </c>
      <c r="D107" s="34">
        <f>ROUND(((+D103+D104)/D105)*D106,2)</f>
        <v>193.6</v>
      </c>
      <c r="F107" s="26" t="s">
        <v>49</v>
      </c>
      <c r="G107" s="35"/>
      <c r="H107" s="35"/>
      <c r="I107" s="30"/>
    </row>
    <row r="108" ht="12.75">
      <c r="C108" s="27"/>
    </row>
    <row r="109" spans="2:3" ht="12.75">
      <c r="B109" s="26" t="s">
        <v>161</v>
      </c>
      <c r="C109" s="27"/>
    </row>
    <row r="110" spans="3:9" ht="12.75">
      <c r="C110" s="27"/>
      <c r="D110" s="38">
        <f>Assumptions!D62</f>
        <v>4000</v>
      </c>
      <c r="F110" s="22" t="s">
        <v>52</v>
      </c>
      <c r="I110" s="30"/>
    </row>
    <row r="111" spans="3:9" ht="12.75">
      <c r="C111" s="27" t="s">
        <v>32</v>
      </c>
      <c r="D111" s="38">
        <f>Assumptions!D62*Assumptions!H57</f>
        <v>400</v>
      </c>
      <c r="F111" s="22" t="s">
        <v>53</v>
      </c>
      <c r="I111" s="30"/>
    </row>
    <row r="112" spans="3:9" ht="12.75">
      <c r="C112" s="27" t="s">
        <v>36</v>
      </c>
      <c r="D112" s="29">
        <v>2</v>
      </c>
      <c r="F112" s="22" t="s">
        <v>50</v>
      </c>
      <c r="I112" s="30"/>
    </row>
    <row r="113" spans="3:9" ht="12.75">
      <c r="C113" s="31" t="s">
        <v>30</v>
      </c>
      <c r="D113" s="59">
        <f>Assumptions!E7</f>
        <v>0.04</v>
      </c>
      <c r="E113" s="25"/>
      <c r="F113" s="25" t="s">
        <v>55</v>
      </c>
      <c r="I113" s="30"/>
    </row>
    <row r="114" spans="3:9" ht="12.75">
      <c r="C114" s="60" t="s">
        <v>31</v>
      </c>
      <c r="D114" s="34">
        <f>((+D110+D111)/D112)*D113</f>
        <v>88</v>
      </c>
      <c r="F114" s="26" t="s">
        <v>49</v>
      </c>
      <c r="I114" s="30"/>
    </row>
    <row r="116" ht="12.75">
      <c r="B116" s="26" t="s">
        <v>56</v>
      </c>
    </row>
    <row r="117" spans="4:9" ht="12.75">
      <c r="D117" s="64">
        <f>Picking!E62</f>
        <v>0</v>
      </c>
      <c r="F117" s="22" t="s">
        <v>152</v>
      </c>
      <c r="I117" s="30"/>
    </row>
    <row r="118" spans="3:9" ht="12.75">
      <c r="C118" s="27" t="s">
        <v>32</v>
      </c>
      <c r="D118" s="64">
        <f>Picking!E63</f>
        <v>0</v>
      </c>
      <c r="F118" s="22" t="s">
        <v>179</v>
      </c>
      <c r="I118" s="30"/>
    </row>
    <row r="119" spans="3:9" ht="12.75">
      <c r="C119" s="27" t="s">
        <v>32</v>
      </c>
      <c r="D119" s="64">
        <f>Picking!E64</f>
        <v>1.5</v>
      </c>
      <c r="E119" s="25"/>
      <c r="F119" s="22" t="s">
        <v>177</v>
      </c>
      <c r="I119" s="30"/>
    </row>
    <row r="120" spans="3:9" ht="12.75">
      <c r="C120" s="27" t="s">
        <v>32</v>
      </c>
      <c r="D120" s="64">
        <f>Picking!E65</f>
        <v>0</v>
      </c>
      <c r="F120" s="22" t="s">
        <v>153</v>
      </c>
      <c r="I120" s="30"/>
    </row>
    <row r="121" spans="3:9" ht="12.75">
      <c r="C121" s="27" t="s">
        <v>32</v>
      </c>
      <c r="D121" s="64">
        <f>Picking!E66</f>
        <v>166</v>
      </c>
      <c r="F121" s="22" t="s">
        <v>258</v>
      </c>
      <c r="I121" s="30"/>
    </row>
    <row r="122" spans="3:9" ht="12.75">
      <c r="C122" s="27" t="s">
        <v>32</v>
      </c>
      <c r="D122" s="64">
        <f>Picking!E67</f>
        <v>1.5</v>
      </c>
      <c r="F122" s="22" t="s">
        <v>154</v>
      </c>
      <c r="I122" s="30"/>
    </row>
    <row r="123" spans="3:9" ht="12.75">
      <c r="C123" s="31" t="s">
        <v>30</v>
      </c>
      <c r="D123" s="32">
        <f>Picking!E59</f>
        <v>10</v>
      </c>
      <c r="E123" s="25"/>
      <c r="F123" s="25" t="s">
        <v>46</v>
      </c>
      <c r="G123" s="25"/>
      <c r="I123" s="30"/>
    </row>
    <row r="124" spans="3:9" ht="12.75">
      <c r="C124" s="28" t="s">
        <v>31</v>
      </c>
      <c r="D124" s="39">
        <f>SUM(D117:D122)*D123</f>
        <v>1690</v>
      </c>
      <c r="F124" s="26" t="s">
        <v>49</v>
      </c>
      <c r="I124" s="30"/>
    </row>
    <row r="130" ht="12.75">
      <c r="B130" s="22" t="s">
        <v>245</v>
      </c>
    </row>
    <row r="131" spans="3:6" ht="12.75">
      <c r="C131" s="35"/>
      <c r="D131" s="35"/>
      <c r="E131" s="35"/>
      <c r="F131" s="35"/>
    </row>
    <row r="132" ht="12.75">
      <c r="B132" s="35"/>
    </row>
  </sheetData>
  <sheetProtection/>
  <mergeCells count="2">
    <mergeCell ref="A2:I2"/>
    <mergeCell ref="C3:G3"/>
  </mergeCells>
  <printOptions/>
  <pageMargins left="0.7480314960629921" right="0.7480314960629921" top="0.984251968503937" bottom="0.984251968503937" header="0.5118110236220472" footer="0.5118110236220472"/>
  <pageSetup firstPageNumber="10" useFirstPageNumber="1" horizontalDpi="150" verticalDpi="150" orientation="portrait" r:id="rId1"/>
  <headerFooter alignWithMargins="0">
    <oddHeader>&amp;LGuidelines: Seabuckthorn  Cost of Production&amp;R&amp;P</oddHeader>
    <oddFooter>&amp;R&amp;"Arial,Italic"Policy Analysis Knowledge Centre</oddFooter>
  </headerFooter>
  <rowBreaks count="3" manualBreakCount="3">
    <brk id="43" max="255" man="1"/>
    <brk id="74" max="255" man="1"/>
    <brk id="1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marsmith</cp:lastModifiedBy>
  <cp:lastPrinted>2008-10-29T19:48:02Z</cp:lastPrinted>
  <dcterms:created xsi:type="dcterms:W3CDTF">1998-12-01T15:32:09Z</dcterms:created>
  <dcterms:modified xsi:type="dcterms:W3CDTF">2008-10-29T19:52:48Z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PublishingExpirationDa">
    <vt:lpwstr/>
  </property>
  <property fmtid="{D5CDD505-2E9C-101B-9397-08002B2CF9AE}" pid="5" name="TemplateU">
    <vt:lpwstr/>
  </property>
  <property fmtid="{D5CDD505-2E9C-101B-9397-08002B2CF9AE}" pid="6" name="xd_Prog">
    <vt:lpwstr/>
  </property>
  <property fmtid="{D5CDD505-2E9C-101B-9397-08002B2CF9AE}" pid="7" name="PublishingStart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