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15" windowHeight="11325" tabRatio="845" activeTab="0"/>
  </bookViews>
  <sheets>
    <sheet name="Introduction" sheetId="1" r:id="rId1"/>
    <sheet name="Summary" sheetId="2" r:id="rId2"/>
    <sheet name="Risk Analysis" sheetId="3" r:id="rId3"/>
    <sheet name="Production" sheetId="4" r:id="rId4"/>
    <sheet name="Seed, Fertilizer &amp; Chemicals" sheetId="5" r:id="rId5"/>
    <sheet name="Op. Cost Input" sheetId="6" r:id="rId6"/>
    <sheet name="Fixed Cost Input" sheetId="7" r:id="rId7"/>
    <sheet name="Selecting" sheetId="8" r:id="rId8"/>
    <sheet name="Assumptions" sheetId="9" r:id="rId9"/>
  </sheets>
  <definedNames>
    <definedName name="\A" localSheetId="8">#REF!</definedName>
    <definedName name="\A" localSheetId="0">#REF!</definedName>
    <definedName name="\A" localSheetId="3">#REF!</definedName>
    <definedName name="\A" localSheetId="2">#REF!</definedName>
    <definedName name="\A" localSheetId="7">#REF!</definedName>
    <definedName name="\A">#REF!</definedName>
    <definedName name="\B" localSheetId="0">#REF!</definedName>
    <definedName name="\B" localSheetId="3">#REF!</definedName>
    <definedName name="\B" localSheetId="2">#REF!</definedName>
    <definedName name="\B" localSheetId="7">#REF!</definedName>
    <definedName name="\B">#REF!</definedName>
    <definedName name="\C" localSheetId="8">#REF!</definedName>
    <definedName name="\C" localSheetId="0">#REF!</definedName>
    <definedName name="\C" localSheetId="3">#REF!</definedName>
    <definedName name="\C" localSheetId="2">#REF!</definedName>
    <definedName name="\C" localSheetId="7">#REF!</definedName>
    <definedName name="\C">#REF!</definedName>
    <definedName name="\D" localSheetId="8">#REF!</definedName>
    <definedName name="\D" localSheetId="0">#REF!</definedName>
    <definedName name="\D" localSheetId="3">#REF!</definedName>
    <definedName name="\D" localSheetId="2">#REF!</definedName>
    <definedName name="\D" localSheetId="7">#REF!</definedName>
    <definedName name="\D">#REF!</definedName>
    <definedName name="\E" localSheetId="0">#REF!</definedName>
    <definedName name="\E" localSheetId="3">#REF!</definedName>
    <definedName name="\E" localSheetId="2">#REF!</definedName>
    <definedName name="\E" localSheetId="7">#REF!</definedName>
    <definedName name="\E">#REF!</definedName>
    <definedName name="\F" localSheetId="0">#REF!</definedName>
    <definedName name="\F" localSheetId="3">#REF!</definedName>
    <definedName name="\F" localSheetId="2">#REF!</definedName>
    <definedName name="\F" localSheetId="7">#REF!</definedName>
    <definedName name="\F">#REF!</definedName>
    <definedName name="\H" localSheetId="8">#REF!</definedName>
    <definedName name="\H" localSheetId="0">#REF!</definedName>
    <definedName name="\H" localSheetId="3">#REF!</definedName>
    <definedName name="\H" localSheetId="2">#REF!</definedName>
    <definedName name="\H" localSheetId="7">#REF!</definedName>
    <definedName name="\H">#REF!</definedName>
    <definedName name="\I" localSheetId="8">#REF!</definedName>
    <definedName name="\I" localSheetId="0">#REF!</definedName>
    <definedName name="\I" localSheetId="3">#REF!</definedName>
    <definedName name="\I" localSheetId="2">#REF!</definedName>
    <definedName name="\I" localSheetId="7">#REF!</definedName>
    <definedName name="\I">#REF!</definedName>
    <definedName name="\K">#N/A</definedName>
    <definedName name="\L" localSheetId="0">#REF!</definedName>
    <definedName name="\L" localSheetId="3">#REF!</definedName>
    <definedName name="\L" localSheetId="2">#REF!</definedName>
    <definedName name="\L" localSheetId="7">#REF!</definedName>
    <definedName name="\L">#REF!</definedName>
    <definedName name="\N" localSheetId="8">#REF!</definedName>
    <definedName name="\N" localSheetId="0">#REF!</definedName>
    <definedName name="\N" localSheetId="3">#REF!</definedName>
    <definedName name="\N" localSheetId="2">#REF!</definedName>
    <definedName name="\N" localSheetId="7">#REF!</definedName>
    <definedName name="\N">#REF!</definedName>
    <definedName name="\O" localSheetId="0">#REF!</definedName>
    <definedName name="\O" localSheetId="3">#REF!</definedName>
    <definedName name="\O" localSheetId="2">#REF!</definedName>
    <definedName name="\O" localSheetId="7">#REF!</definedName>
    <definedName name="\O">#REF!</definedName>
    <definedName name="\P">#N/A</definedName>
    <definedName name="\R" localSheetId="0">#REF!</definedName>
    <definedName name="\R" localSheetId="3">#REF!</definedName>
    <definedName name="\R" localSheetId="2">#REF!</definedName>
    <definedName name="\R" localSheetId="7">#REF!</definedName>
    <definedName name="\R">#REF!</definedName>
    <definedName name="\S" localSheetId="8">#REF!</definedName>
    <definedName name="\S" localSheetId="0">#REF!</definedName>
    <definedName name="\S" localSheetId="3">#REF!</definedName>
    <definedName name="\S" localSheetId="2">#REF!</definedName>
    <definedName name="\S" localSheetId="7">#REF!</definedName>
    <definedName name="\S">#REF!</definedName>
    <definedName name="\T" localSheetId="0">#REF!</definedName>
    <definedName name="\T" localSheetId="3">#REF!</definedName>
    <definedName name="\T" localSheetId="2">#REF!</definedName>
    <definedName name="\T" localSheetId="7">#REF!</definedName>
    <definedName name="\T">#REF!</definedName>
    <definedName name="\U" localSheetId="0">#REF!</definedName>
    <definedName name="\U" localSheetId="3">#REF!</definedName>
    <definedName name="\U" localSheetId="2">#REF!</definedName>
    <definedName name="\U" localSheetId="7">#REF!</definedName>
    <definedName name="\U">#REF!</definedName>
    <definedName name="\W" localSheetId="8">#REF!</definedName>
    <definedName name="\W" localSheetId="0">#REF!</definedName>
    <definedName name="\W" localSheetId="3">#REF!</definedName>
    <definedName name="\W" localSheetId="2">#REF!</definedName>
    <definedName name="\W" localSheetId="7">#REF!</definedName>
    <definedName name="\W">#REF!</definedName>
    <definedName name="\X">#N/A</definedName>
    <definedName name="\Y" localSheetId="0">#REF!</definedName>
    <definedName name="\Y" localSheetId="3">#REF!</definedName>
    <definedName name="\Y" localSheetId="2">#REF!</definedName>
    <definedName name="\Y" localSheetId="7">#REF!</definedName>
    <definedName name="\Y">#REF!</definedName>
    <definedName name="ALL">#N/A</definedName>
    <definedName name="_xlnm.Print_Area" localSheetId="8">'Assumptions'!$A$1:$L$70</definedName>
    <definedName name="_xlnm.Print_Area" localSheetId="6">'Fixed Cost Input'!$A$1:$J$65</definedName>
    <definedName name="_xlnm.Print_Area" localSheetId="0">'Introduction'!$A$1:$J$42</definedName>
    <definedName name="_xlnm.Print_Area" localSheetId="5">'Op. Cost Input'!$A$1:$N$72</definedName>
    <definedName name="_xlnm.Print_Area" localSheetId="2">'Risk Analysis'!$A$1:$K$48</definedName>
    <definedName name="_xlnm.Print_Area" localSheetId="4">'Seed, Fertilizer &amp; Chemicals'!$A$1:$O$104</definedName>
    <definedName name="_xlnm.Print_Area" localSheetId="7">'Selecting'!$A$1:$J$35</definedName>
    <definedName name="_xlnm.Print_Area" localSheetId="1">'Summary'!$A$1:$U$70</definedName>
    <definedName name="Z_6E930F6D_F725_11D2_92B5_0004ACD86FC2_.wvu.PrintArea" localSheetId="8" hidden="1">'Assumptions'!$A$1:$B$2</definedName>
    <definedName name="Z_6E930F6D_F725_11D2_92B5_0004ACD86FC2_.wvu.PrintArea" localSheetId="0" hidden="1">'Introduction'!$A$5:$B$55</definedName>
  </definedNames>
  <calcPr fullCalcOnLoad="1"/>
</workbook>
</file>

<file path=xl/comments2.xml><?xml version="1.0" encoding="utf-8"?>
<comments xmlns="http://schemas.openxmlformats.org/spreadsheetml/2006/main">
  <authors>
    <author>Roy Arnott</author>
  </authors>
  <commentList>
    <comment ref="F47" authorId="0">
      <text>
        <r>
          <rPr>
            <sz val="9"/>
            <rFont val="Tahoma"/>
            <family val="2"/>
          </rPr>
          <t xml:space="preserve">
3/4 of normal average yield</t>
        </r>
      </text>
    </comment>
    <comment ref="C47" authorId="0">
      <text>
        <r>
          <rPr>
            <sz val="9"/>
            <rFont val="Tahoma"/>
            <family val="2"/>
          </rPr>
          <t xml:space="preserve">
3/4 of normal average yield</t>
        </r>
      </text>
    </comment>
    <comment ref="J47" authorId="0">
      <text>
        <r>
          <rPr>
            <sz val="9"/>
            <rFont val="Tahoma"/>
            <family val="2"/>
          </rPr>
          <t xml:space="preserve">
3/4 of normal average yield</t>
        </r>
      </text>
    </comment>
    <comment ref="N47" authorId="0">
      <text>
        <r>
          <rPr>
            <sz val="9"/>
            <rFont val="Tahoma"/>
            <family val="2"/>
          </rPr>
          <t xml:space="preserve">
3/4 of normal average yield</t>
        </r>
      </text>
    </comment>
    <comment ref="L47" authorId="0">
      <text>
        <r>
          <rPr>
            <sz val="9"/>
            <rFont val="Tahoma"/>
            <family val="2"/>
          </rPr>
          <t xml:space="preserve">
7/8 of normal average yield</t>
        </r>
      </text>
    </comment>
    <comment ref="P47" authorId="0">
      <text>
        <r>
          <rPr>
            <sz val="9"/>
            <rFont val="Tahoma"/>
            <family val="2"/>
          </rPr>
          <t xml:space="preserve">
3/4 of normal average yield</t>
        </r>
      </text>
    </comment>
    <comment ref="R47" authorId="0">
      <text>
        <r>
          <rPr>
            <sz val="9"/>
            <rFont val="Tahoma"/>
            <family val="2"/>
          </rPr>
          <t xml:space="preserve">
3/4 of normal average yield</t>
        </r>
      </text>
    </comment>
  </commentList>
</comments>
</file>

<file path=xl/comments4.xml><?xml version="1.0" encoding="utf-8"?>
<comments xmlns="http://schemas.openxmlformats.org/spreadsheetml/2006/main">
  <authors>
    <author>DSummach</author>
  </authors>
  <commentList>
    <comment ref="J5" authorId="0">
      <text>
        <r>
          <rPr>
            <b/>
            <sz val="8"/>
            <rFont val="Tahoma"/>
            <family val="2"/>
          </rPr>
          <t>Single cut.</t>
        </r>
      </text>
    </comment>
  </commentList>
</comments>
</file>

<file path=xl/comments5.xml><?xml version="1.0" encoding="utf-8"?>
<comments xmlns="http://schemas.openxmlformats.org/spreadsheetml/2006/main">
  <authors>
    <author>Roy Arnott</author>
  </authors>
  <commentList>
    <comment ref="G102" authorId="0">
      <text>
        <r>
          <rPr>
            <sz val="9"/>
            <rFont val="Tahoma"/>
            <family val="2"/>
          </rPr>
          <t xml:space="preserve">
Assume 1 in 3 years</t>
        </r>
      </text>
    </comment>
    <comment ref="G95" authorId="0">
      <text>
        <r>
          <rPr>
            <sz val="9"/>
            <rFont val="Tahoma"/>
            <family val="2"/>
          </rPr>
          <t xml:space="preserve">
Assume 1 in 3 years</t>
        </r>
      </text>
    </comment>
    <comment ref="G92" authorId="0">
      <text>
        <r>
          <rPr>
            <sz val="9"/>
            <rFont val="Tahoma"/>
            <family val="2"/>
          </rPr>
          <t xml:space="preserve">
Assume 1 in 3 years</t>
        </r>
      </text>
    </comment>
    <comment ref="G84" authorId="0">
      <text>
        <r>
          <rPr>
            <sz val="9"/>
            <rFont val="Tahoma"/>
            <family val="2"/>
          </rPr>
          <t xml:space="preserve">
Assume 1 in 3 years</t>
        </r>
      </text>
    </comment>
  </commentList>
</comments>
</file>

<file path=xl/comments6.xml><?xml version="1.0" encoding="utf-8"?>
<comments xmlns="http://schemas.openxmlformats.org/spreadsheetml/2006/main">
  <authors>
    <author>Roy Arnott</author>
  </authors>
  <commentList>
    <comment ref="I11" authorId="0">
      <text>
        <r>
          <rPr>
            <sz val="9"/>
            <rFont val="Tahoma"/>
            <family val="2"/>
          </rPr>
          <t xml:space="preserve">
Air drills range from $15 to $17 per acre.
</t>
        </r>
      </text>
    </comment>
    <comment ref="J11" authorId="0">
      <text>
        <r>
          <rPr>
            <sz val="9"/>
            <rFont val="Tahoma"/>
            <family val="2"/>
          </rPr>
          <t xml:space="preserve">
Sprayer application ranges from $2.50 to $7.00 per acre.</t>
        </r>
      </text>
    </comment>
    <comment ref="K11" authorId="0">
      <text>
        <r>
          <rPr>
            <sz val="9"/>
            <rFont val="Tahoma"/>
            <family val="2"/>
          </rPr>
          <t xml:space="preserve">
Also spot herbicide application.</t>
        </r>
      </text>
    </comment>
  </commentList>
</comments>
</file>

<file path=xl/comments8.xml><?xml version="1.0" encoding="utf-8"?>
<comments xmlns="http://schemas.openxmlformats.org/spreadsheetml/2006/main">
  <authors>
    <author>Allan Wilson</author>
  </authors>
  <commentList>
    <comment ref="J12" authorId="0">
      <text>
        <r>
          <rPr>
            <b/>
            <sz val="8"/>
            <rFont val="Tahoma"/>
            <family val="2"/>
          </rPr>
          <t>Allan Wilson:</t>
        </r>
        <r>
          <rPr>
            <sz val="8"/>
            <rFont val="Tahoma"/>
            <family val="2"/>
          </rPr>
          <t xml:space="preserve">
Good
</t>
        </r>
      </text>
    </comment>
  </commentList>
</comments>
</file>

<file path=xl/sharedStrings.xml><?xml version="1.0" encoding="utf-8"?>
<sst xmlns="http://schemas.openxmlformats.org/spreadsheetml/2006/main" count="800" uniqueCount="330">
  <si>
    <t>Seeding Rate</t>
  </si>
  <si>
    <t>Price</t>
  </si>
  <si>
    <t>Cost</t>
  </si>
  <si>
    <t>Crop</t>
  </si>
  <si>
    <t>per Acre</t>
  </si>
  <si>
    <t>per Unit</t>
  </si>
  <si>
    <t>Wheat</t>
  </si>
  <si>
    <t>bu</t>
  </si>
  <si>
    <t>/bu</t>
  </si>
  <si>
    <t>lb</t>
  </si>
  <si>
    <t>/lb</t>
  </si>
  <si>
    <t>lbs</t>
  </si>
  <si>
    <t>$/acre</t>
  </si>
  <si>
    <t>Disease</t>
  </si>
  <si>
    <t xml:space="preserve">Insect </t>
  </si>
  <si>
    <t>Total</t>
  </si>
  <si>
    <t>Control</t>
  </si>
  <si>
    <t>Insecticide</t>
  </si>
  <si>
    <t>Fungicide</t>
  </si>
  <si>
    <t>Drying</t>
  </si>
  <si>
    <t>Fuel</t>
  </si>
  <si>
    <t>Insurance</t>
  </si>
  <si>
    <t>Costs</t>
  </si>
  <si>
    <t/>
  </si>
  <si>
    <t>A.  Operating Costs</t>
  </si>
  <si>
    <t>Seed &amp; Treatment</t>
  </si>
  <si>
    <t>Fertilizer</t>
  </si>
  <si>
    <t>Chemicals</t>
  </si>
  <si>
    <t>Machinery Operating</t>
  </si>
  <si>
    <t>Crop Insurance</t>
  </si>
  <si>
    <t>Other Costs</t>
  </si>
  <si>
    <t>Land Taxes</t>
  </si>
  <si>
    <t>Interest on Operating</t>
  </si>
  <si>
    <t>B.   Fixed Costs</t>
  </si>
  <si>
    <t>Land Investment Costs</t>
  </si>
  <si>
    <t>Machinery Depreciation</t>
  </si>
  <si>
    <t>Machinery Investment</t>
  </si>
  <si>
    <t>Storage Costs</t>
  </si>
  <si>
    <t>Total Operating &amp; Fixed</t>
  </si>
  <si>
    <t>C. Labour</t>
  </si>
  <si>
    <t>Total Costs</t>
  </si>
  <si>
    <t>Operating Costs</t>
  </si>
  <si>
    <t>Drying Costs</t>
  </si>
  <si>
    <t>Total Operating</t>
  </si>
  <si>
    <t xml:space="preserve">Total Fixed </t>
  </si>
  <si>
    <t>Per Acre</t>
  </si>
  <si>
    <t>Nitrogen</t>
  </si>
  <si>
    <t>Potash</t>
  </si>
  <si>
    <t>Sulphur</t>
  </si>
  <si>
    <t>Amount of Actual Pounds of Elements Applied Per Acre</t>
  </si>
  <si>
    <t>Interest Rate on Operating</t>
  </si>
  <si>
    <t>Fixed Costs</t>
  </si>
  <si>
    <t>Depreciation Rate</t>
  </si>
  <si>
    <t>Investment Rate</t>
  </si>
  <si>
    <t>Value</t>
  </si>
  <si>
    <t>Storage</t>
  </si>
  <si>
    <t>Labour</t>
  </si>
  <si>
    <t>$/lb</t>
  </si>
  <si>
    <t>Land Taxes:</t>
  </si>
  <si>
    <t>Interest On Operating:</t>
  </si>
  <si>
    <t>Land Investment Cost:</t>
  </si>
  <si>
    <t>Investment Cost:</t>
  </si>
  <si>
    <t>Other Assumptions</t>
  </si>
  <si>
    <t>Herbicide</t>
  </si>
  <si>
    <t>Storage Cost:</t>
  </si>
  <si>
    <t>Weed</t>
  </si>
  <si>
    <t>Phosphorus</t>
  </si>
  <si>
    <t>Seed</t>
  </si>
  <si>
    <t>Estimated Farmgate</t>
  </si>
  <si>
    <t xml:space="preserve">Marginal Returns </t>
  </si>
  <si>
    <t>Guidelines For Estimating</t>
  </si>
  <si>
    <t>Roy Arnott</t>
  </si>
  <si>
    <t xml:space="preserve">                                                20 years                  =    </t>
  </si>
  <si>
    <t xml:space="preserve">                                                            Sub-Total    =     </t>
  </si>
  <si>
    <t>Profitability &amp; Breakeven Analysis</t>
  </si>
  <si>
    <t>Profitability &amp; Breakeven Analysis:</t>
  </si>
  <si>
    <t xml:space="preserve">Net Profit = Gross Revenue - Total Cost  </t>
  </si>
  <si>
    <t>Operating Expense Ratio</t>
  </si>
  <si>
    <t xml:space="preserve">Operating Expense Ratio = (Operating Cost / Gross Revenue) x 100 </t>
  </si>
  <si>
    <t>Price $ per unit</t>
  </si>
  <si>
    <t>Gross Revenue / acre</t>
  </si>
  <si>
    <t>Over Operating Costs</t>
  </si>
  <si>
    <t>Over Total Costs (Net Profit)</t>
  </si>
  <si>
    <t>Profitability Ranking</t>
  </si>
  <si>
    <t>Risk &amp; Sensitivity Analysis</t>
  </si>
  <si>
    <t>Percent Price Variation</t>
  </si>
  <si>
    <t>Down</t>
  </si>
  <si>
    <t>Percent Yield Variation</t>
  </si>
  <si>
    <t xml:space="preserve">   Over Operating Costs</t>
  </si>
  <si>
    <t xml:space="preserve">   Over Total Costs (Net Profit)</t>
  </si>
  <si>
    <t>Up</t>
  </si>
  <si>
    <t>Yield per acre (bu or lb.)</t>
  </si>
  <si>
    <t>Breakeven Price Per Unit</t>
  </si>
  <si>
    <t>Breakeven Yield (Bu or lb.)</t>
  </si>
  <si>
    <t>Unit type</t>
  </si>
  <si>
    <t>Acres</t>
  </si>
  <si>
    <t xml:space="preserve">Hours </t>
  </si>
  <si>
    <t>Farmed</t>
  </si>
  <si>
    <t>Staff</t>
  </si>
  <si>
    <t># Hired</t>
  </si>
  <si>
    <t># of</t>
  </si>
  <si>
    <t>Months</t>
  </si>
  <si>
    <t>Annual</t>
  </si>
  <si>
    <t>Higher Yield (per acre)</t>
  </si>
  <si>
    <t>Lower Yield (per acre)</t>
  </si>
  <si>
    <t xml:space="preserve">Estimated Yield of Forage Seed - Clean Pounds per Acre </t>
  </si>
  <si>
    <t>Alfalfa</t>
  </si>
  <si>
    <t>Timothy</t>
  </si>
  <si>
    <t>Perennial</t>
  </si>
  <si>
    <t>Meadow</t>
  </si>
  <si>
    <t>Birdsfoot</t>
  </si>
  <si>
    <t>Red</t>
  </si>
  <si>
    <t xml:space="preserve">Tall </t>
  </si>
  <si>
    <t>Years</t>
  </si>
  <si>
    <t>Ryegrass</t>
  </si>
  <si>
    <t>Fescue</t>
  </si>
  <si>
    <t>Trefoil</t>
  </si>
  <si>
    <t>Clover</t>
  </si>
  <si>
    <t>Total Yield</t>
  </si>
  <si>
    <t>Average Yield</t>
  </si>
  <si>
    <t>Years rotation</t>
  </si>
  <si>
    <t>Ease of Establishment</t>
  </si>
  <si>
    <t>Years of  Seed Production</t>
  </si>
  <si>
    <t>Ease of Production</t>
  </si>
  <si>
    <t>Average Value $/lb</t>
  </si>
  <si>
    <t>Salinity Tolerance</t>
  </si>
  <si>
    <t>Drought Tolerance</t>
  </si>
  <si>
    <t>Moisture Requirement</t>
  </si>
  <si>
    <t>Flooding Tolerance</t>
  </si>
  <si>
    <t>Certified Seed</t>
  </si>
  <si>
    <t>4 – 5</t>
  </si>
  <si>
    <t>Poor</t>
  </si>
  <si>
    <t>Tall Fescue</t>
  </si>
  <si>
    <t>Easy</t>
  </si>
  <si>
    <t>3 – 4</t>
  </si>
  <si>
    <t>$0.40 - $0.55</t>
  </si>
  <si>
    <t>Good</t>
  </si>
  <si>
    <t>Moderate</t>
  </si>
  <si>
    <t>Festuca arundinacea</t>
  </si>
  <si>
    <t>Meadow fescue</t>
  </si>
  <si>
    <t>$0.5 - $0.60</t>
  </si>
  <si>
    <t>High</t>
  </si>
  <si>
    <t>Festuca elatior</t>
  </si>
  <si>
    <t>Perennial ryegrass</t>
  </si>
  <si>
    <t>1 biennial</t>
  </si>
  <si>
    <t>$0.40 - $0.60</t>
  </si>
  <si>
    <t>Lollium Perenne</t>
  </si>
  <si>
    <t>.55 - .90</t>
  </si>
  <si>
    <t>Very good</t>
  </si>
  <si>
    <t>Phleum pratense</t>
  </si>
  <si>
    <t>Alfalfa – Lucerne</t>
  </si>
  <si>
    <t>$1.50 - $2.00</t>
  </si>
  <si>
    <t>Medicago sativa</t>
  </si>
  <si>
    <t>Birdsfoot trefoil</t>
  </si>
  <si>
    <t>3 – 5</t>
  </si>
  <si>
    <t>$2.00 - $4.00</t>
  </si>
  <si>
    <t>Lotus corniculatis</t>
  </si>
  <si>
    <t>Red Clover</t>
  </si>
  <si>
    <t>1biennial</t>
  </si>
  <si>
    <t>$.90 -dbl. Cut</t>
  </si>
  <si>
    <r>
      <t xml:space="preserve"> </t>
    </r>
    <r>
      <rPr>
        <i/>
        <sz val="10"/>
        <rFont val="Times New Roman"/>
        <family val="1"/>
      </rPr>
      <t>Trifolium pratense</t>
    </r>
  </si>
  <si>
    <t>$.70 -sgl. Cut</t>
  </si>
  <si>
    <t>EASY</t>
  </si>
  <si>
    <t>0.25 - 0.35</t>
  </si>
  <si>
    <t>Alfalfa Seed</t>
  </si>
  <si>
    <t>Alfalfa seed</t>
  </si>
  <si>
    <t>Timothy Seed</t>
  </si>
  <si>
    <t>Timothy seed</t>
  </si>
  <si>
    <t>Annual Ryegrass</t>
  </si>
  <si>
    <t>Red Clover seed</t>
  </si>
  <si>
    <t>Annual Ryegrass seed</t>
  </si>
  <si>
    <t>Perennial Ryegrass</t>
  </si>
  <si>
    <t>Perennial Ryegrass seed</t>
  </si>
  <si>
    <t>Meadow Fescue</t>
  </si>
  <si>
    <t>Meadow Fescue seed</t>
  </si>
  <si>
    <t>Birdsfoot Trefoil</t>
  </si>
  <si>
    <t>Tall Fescue seed</t>
  </si>
  <si>
    <t>Desiccant</t>
  </si>
  <si>
    <t>miles roundtrip</t>
  </si>
  <si>
    <t>Trucks L/acre</t>
  </si>
  <si>
    <t>air drill</t>
  </si>
  <si>
    <t>SP sprayer</t>
  </si>
  <si>
    <t>swather</t>
  </si>
  <si>
    <t>3/4 ton pickup</t>
  </si>
  <si>
    <t>grain hauling</t>
  </si>
  <si>
    <t>L/acre</t>
  </si>
  <si>
    <t>Pollination</t>
  </si>
  <si>
    <t>Roguing</t>
  </si>
  <si>
    <t>Field Inspection *</t>
  </si>
  <si>
    <t>acres assumed</t>
  </si>
  <si>
    <t>CSGA Fee</t>
  </si>
  <si>
    <t xml:space="preserve">  Assessment fee</t>
  </si>
  <si>
    <t>/acre</t>
  </si>
  <si>
    <t>CFIA Fee</t>
  </si>
  <si>
    <t>Branch Fee</t>
  </si>
  <si>
    <t>Cost per acre</t>
  </si>
  <si>
    <t>hay bine</t>
  </si>
  <si>
    <t>round baler</t>
  </si>
  <si>
    <t>Pounds/bu</t>
  </si>
  <si>
    <t>Bushels/acre</t>
  </si>
  <si>
    <t>No Nurse</t>
  </si>
  <si>
    <t>Forage Seed &amp; Treatment</t>
  </si>
  <si>
    <t>Nurse Crop Seed</t>
  </si>
  <si>
    <t>Tall Fescue Seed</t>
  </si>
  <si>
    <t>Years production</t>
  </si>
  <si>
    <t>Field Inspection</t>
  </si>
  <si>
    <r>
      <t>Establishment Cost</t>
    </r>
    <r>
      <rPr>
        <vertAlign val="superscript"/>
        <sz val="12"/>
        <rFont val="Arial"/>
        <family val="2"/>
      </rPr>
      <t>1</t>
    </r>
  </si>
  <si>
    <t>Higher Price ($ per lb)</t>
  </si>
  <si>
    <t>Lower Price ($ per lb)</t>
  </si>
  <si>
    <t>Example - Tall fescue</t>
  </si>
  <si>
    <t xml:space="preserve">. . . . . . . . . . . . . . . . . . . . . . . . . . . . . . . . . . . . . . . . . . . . . . . . . </t>
  </si>
  <si>
    <t xml:space="preserve">The assumptions on which the costs were calculated are clearly defined in the supporting pages.  They were developed using a combination of recommended practices and methods followed by many producers. </t>
  </si>
  <si>
    <r>
      <rPr>
        <b/>
        <sz val="11"/>
        <rFont val="Arial"/>
        <family val="2"/>
      </rPr>
      <t xml:space="preserve">Note: </t>
    </r>
    <r>
      <rPr>
        <sz val="11"/>
        <rFont val="Arial"/>
        <family val="2"/>
      </rPr>
      <t>This budget is only a guide and is not intended as an in depth study of the cost of production of this industry. Interpretation and use of this information is the responsibility of the user. If you need help with a budget, contract your local MAFRD GO office.</t>
    </r>
  </si>
  <si>
    <t xml:space="preserve">This guide is designed to provide planning information and a format for calculating the costs of producing the most commonly grown forage seed crops in Manitoba.  General Manitoba Agriculture, Food and Rural Development (MAFRD) recommendations are assumed in using fertilizers and chemical inputs.  These figures provide an economic evaluation of the crops and estimated yields required to cover all costs.  Costs include labour, investment and depreciation, but do not include managmement costs, nor do they necessarily represent the average cost of production in Manitoba.  
</t>
  </si>
  <si>
    <t>Your Farm</t>
  </si>
  <si>
    <r>
      <rPr>
        <b/>
        <sz val="12"/>
        <rFont val="Arial"/>
        <family val="2"/>
      </rPr>
      <t>Note:</t>
    </r>
    <r>
      <rPr>
        <sz val="12"/>
        <rFont val="Arial"/>
        <family val="2"/>
      </rPr>
      <t xml:space="preserve"> This budget is only a guide and is not intended as an in depth study of the cost of production of this industry. Interpretation and utilization of this information is the responsibility of the user.</t>
    </r>
  </si>
  <si>
    <t>Bulk Price</t>
  </si>
  <si>
    <t>Fertilizer Type</t>
  </si>
  <si>
    <t>$/tonne</t>
  </si>
  <si>
    <t>Nitrogen: (urea) 46-0-0</t>
  </si>
  <si>
    <t>Phosphorus:   11-52-0</t>
  </si>
  <si>
    <t>Potash:   0-0-60</t>
  </si>
  <si>
    <t>Sulphur:   20.5-0-0-24</t>
  </si>
  <si>
    <t>Actual Nutrient</t>
  </si>
  <si>
    <t xml:space="preserve">The fertilizer recommendation will vary depending on the soil type, climate and crop rotation. MAFRD recommends that soil test sampling and analysis be conducted each year to produce a better baseline for fertility. It costs $0.50 to $1.50/acre for custom sampling and analysis. </t>
  </si>
  <si>
    <t>Price / lb</t>
  </si>
  <si>
    <r>
      <t xml:space="preserve">MASC Risk Area #15 </t>
    </r>
    <r>
      <rPr>
        <sz val="12"/>
        <rFont val="Arial"/>
        <family val="2"/>
      </rPr>
      <t>at 80% coverage.  Insurance is not available on meadow fescue, birdsfoot trefoil, or red clover crops.</t>
    </r>
  </si>
  <si>
    <t xml:space="preserve">Total                                         </t>
  </si>
  <si>
    <t xml:space="preserve">For more information, contact your local </t>
  </si>
  <si>
    <r>
      <rPr>
        <b/>
        <sz val="10"/>
        <rFont val="Arial"/>
        <family val="2"/>
      </rPr>
      <t xml:space="preserve">NOTE: </t>
    </r>
    <r>
      <rPr>
        <sz val="10"/>
        <rFont val="Arial"/>
        <family val="2"/>
      </rPr>
      <t>For details on markets and available contracts contact Seed Trade firms for current applicable information. This table is intended for general reference only.  It should be noted that all of the information relates to seed production management versus management for forage or turf, the management under these systems may differ significantly.</t>
    </r>
  </si>
  <si>
    <t>Annual Ryesgrass</t>
  </si>
  <si>
    <t xml:space="preserve">Derrick Chomokovski </t>
  </si>
  <si>
    <t>Farm Production Advisor</t>
  </si>
  <si>
    <t xml:space="preserve"> (nurse crop)</t>
  </si>
  <si>
    <t>Year 1 establishment - no nurse crop</t>
  </si>
  <si>
    <t>Annual year 1 seed production</t>
  </si>
  <si>
    <r>
      <t>Crop</t>
    </r>
    <r>
      <rPr>
        <b/>
        <u val="single"/>
        <vertAlign val="superscript"/>
        <sz val="11"/>
        <rFont val="Arial"/>
        <family val="2"/>
      </rPr>
      <t>2</t>
    </r>
  </si>
  <si>
    <t>Nurse Crop</t>
  </si>
  <si>
    <t>2.  The costs for forage seed establishment with no nurse crop are listed for comparative purposes only.</t>
  </si>
  <si>
    <t>(Turf Type)</t>
  </si>
  <si>
    <t xml:space="preserve">1.  The costs for establishing the forage seed crop (with nurse crop) are spread over the seed production years.  </t>
  </si>
  <si>
    <r>
      <t>Fuel Costs:</t>
    </r>
    <r>
      <rPr>
        <sz val="12"/>
        <rFont val="Arial"/>
        <family val="2"/>
      </rPr>
      <t xml:space="preserve">  Includes fuel used for field work, trucking in inputs and trucking out production.</t>
    </r>
  </si>
  <si>
    <r>
      <t xml:space="preserve">Machinery  Operating Costs:  </t>
    </r>
    <r>
      <rPr>
        <sz val="12"/>
        <rFont val="Arial"/>
        <family val="2"/>
      </rPr>
      <t>Includes costs for maintenance, repairs, licenses and insurance.</t>
    </r>
  </si>
  <si>
    <r>
      <t xml:space="preserve">Other Costs: </t>
    </r>
    <r>
      <rPr>
        <sz val="12"/>
        <rFont val="Arial"/>
        <family val="2"/>
      </rPr>
      <t xml:space="preserve"> Includes overhead expenses - hydro, telephone, accounting, buildings, supplies and insurance, etc.</t>
    </r>
  </si>
  <si>
    <r>
      <t xml:space="preserve">Drying Costs: </t>
    </r>
    <r>
      <rPr>
        <sz val="12"/>
        <rFont val="Arial"/>
        <family val="2"/>
      </rPr>
      <t xml:space="preserve"> Aeration assumed on all crops.  Heated air drying costs only assigned for annual ryegrass.  However, drying costs may be incurred in some years for the other crops.</t>
    </r>
  </si>
  <si>
    <r>
      <t xml:space="preserve">Depreciation:  </t>
    </r>
    <r>
      <rPr>
        <sz val="12"/>
        <rFont val="Arial"/>
        <family val="2"/>
      </rPr>
      <t>Assumed 10% on machinery, no salvage value.</t>
    </r>
  </si>
  <si>
    <r>
      <t xml:space="preserve">Estimated Farmgate Values: </t>
    </r>
    <r>
      <rPr>
        <sz val="12"/>
        <rFont val="Arial"/>
        <family val="2"/>
      </rPr>
      <t>Crop prices are based on estimated delivery contract prices for fall 2014/15.</t>
    </r>
  </si>
  <si>
    <t xml:space="preserve">This tool is available as an Excel worksheet at: </t>
  </si>
  <si>
    <t>or at your local</t>
  </si>
  <si>
    <t>is also available to help determine machinery costs.</t>
  </si>
  <si>
    <t xml:space="preserve">These budgets may be adjusted by putting in your own figures.  As a producer, you are encouraged to calculate your own costs of production for various forage seed crops.  On each farm, costs and yields differ due to soil type, climate and agronomic practices.  </t>
  </si>
  <si>
    <t>Grain Hauling</t>
  </si>
  <si>
    <t>Land Taxes  ($/acre)</t>
  </si>
  <si>
    <t xml:space="preserve">  Distance to storage</t>
  </si>
  <si>
    <t>Labour rate ($/hour)</t>
  </si>
  <si>
    <t xml:space="preserve">  Distance to market</t>
  </si>
  <si>
    <t xml:space="preserve">  Grain truck fuel use</t>
  </si>
  <si>
    <t>Miles per Imp. Gallon</t>
  </si>
  <si>
    <t>Machinery Operating  ($/acre)</t>
  </si>
  <si>
    <t xml:space="preserve">  Grain truck size</t>
  </si>
  <si>
    <t>bushels</t>
  </si>
  <si>
    <t>Other Costs ($/acre)</t>
  </si>
  <si>
    <t>Fuel Cost  ($/litre)</t>
  </si>
  <si>
    <t>Operating Cost ($/Acre)</t>
  </si>
  <si>
    <t>Rental and Custom Costs</t>
  </si>
  <si>
    <t>(hrs/acre)</t>
  </si>
  <si>
    <t>Seeding</t>
  </si>
  <si>
    <t>Application</t>
  </si>
  <si>
    <t>General</t>
  </si>
  <si>
    <t>-</t>
  </si>
  <si>
    <t>* Storage costs are listed under Fixed Costs on the Summary Page.</t>
  </si>
  <si>
    <t>Field Fuel Usage</t>
  </si>
  <si>
    <t>Number of Field Operations &amp; Litres Fuel Per Operation</t>
  </si>
  <si>
    <t>cultivator or tandem disk</t>
  </si>
  <si>
    <t>harrow or land roller</t>
  </si>
  <si>
    <t>combine</t>
  </si>
  <si>
    <t>Land value ($/acre)</t>
  </si>
  <si>
    <t>Land cost ($/acre)</t>
  </si>
  <si>
    <t>Machinery Investment ($/acre)</t>
  </si>
  <si>
    <t>Machinery Depreciation cost ($/acre)</t>
  </si>
  <si>
    <t>Machinery Investment cost ($/acre)</t>
  </si>
  <si>
    <t xml:space="preserve">Grain Storage </t>
  </si>
  <si>
    <t>Usage %</t>
  </si>
  <si>
    <t>Machinery Lease cost ($/acre)</t>
  </si>
  <si>
    <t xml:space="preserve">  Non-aeration bins</t>
  </si>
  <si>
    <t>Total ($/acre)</t>
  </si>
  <si>
    <t xml:space="preserve">  Aeration bins</t>
  </si>
  <si>
    <t>Owned Equipment Inventory and Current Values</t>
  </si>
  <si>
    <t>Market</t>
  </si>
  <si>
    <t>Power &amp; Misc Equipment</t>
  </si>
  <si>
    <t>Allocation</t>
  </si>
  <si>
    <t>Harvest Equipment</t>
  </si>
  <si>
    <t>4WD Tractor 375HP</t>
  </si>
  <si>
    <t>Combine</t>
  </si>
  <si>
    <t>MFD Tractor 150HP</t>
  </si>
  <si>
    <t>Swather 35 ft</t>
  </si>
  <si>
    <t>2WD Tractor 60HP</t>
  </si>
  <si>
    <t>PTO Auger 13x70</t>
  </si>
  <si>
    <t>ATV Quad</t>
  </si>
  <si>
    <t>Auger 8x35</t>
  </si>
  <si>
    <t>Seeding, Tillage, Spraying</t>
  </si>
  <si>
    <t>Trucks &amp; Trailers</t>
  </si>
  <si>
    <t>Cultivator</t>
  </si>
  <si>
    <t>Tandem grain truck</t>
  </si>
  <si>
    <t>Harrow 80ft</t>
  </si>
  <si>
    <t>3 ton grain truck</t>
  </si>
  <si>
    <t>Air tank</t>
  </si>
  <si>
    <t>5th wheel flatdeck</t>
  </si>
  <si>
    <t>Air drill 50ft</t>
  </si>
  <si>
    <t>Rock picker</t>
  </si>
  <si>
    <t>Water tanks</t>
  </si>
  <si>
    <t>Owned Equipment TOTAL</t>
  </si>
  <si>
    <t>per acre</t>
  </si>
  <si>
    <t>Leased Equipment Inventory</t>
  </si>
  <si>
    <t>Lease</t>
  </si>
  <si>
    <t>enter equipment here</t>
  </si>
  <si>
    <t>Leased Equipment TOTAL</t>
  </si>
  <si>
    <t>* Leased equipment costs are listed under Operating Costs on the Summary Page.</t>
  </si>
  <si>
    <t>Total Crop (Grain &amp; Forage Seed) acres</t>
  </si>
  <si>
    <t>Machinery Lease</t>
  </si>
  <si>
    <t>Rental and Custom</t>
  </si>
  <si>
    <t xml:space="preserve">    Establishment Cost = (Total Nurse Crop and Forage Seed Cost - Nurse Crop Revenue) / Number of Seed Production Years.</t>
  </si>
  <si>
    <t>January,</t>
  </si>
  <si>
    <r>
      <t>Selecting  a Forage Seed Crop</t>
    </r>
    <r>
      <rPr>
        <b/>
        <sz val="14"/>
        <color indexed="9"/>
        <rFont val="Arial"/>
        <family val="2"/>
      </rPr>
      <t xml:space="preserve"> </t>
    </r>
  </si>
  <si>
    <t>lbs/ac</t>
  </si>
  <si>
    <t>Crop Insurance: (2015 rates.  New rates for 2016 are not included.)</t>
  </si>
  <si>
    <t>January, 2016</t>
  </si>
  <si>
    <t xml:space="preserve">Created and maintained by </t>
  </si>
  <si>
    <t xml:space="preserve">Farm Management Specialist         </t>
  </si>
  <si>
    <t>For more information, contact your local MAFRD GO Office or:</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</si>
</sst>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quot;$&quot;#,##0.00\)"/>
    <numFmt numFmtId="165" formatCode="&quot;$&quot;#,##0.0000\ ;\(&quot;$&quot;#,##0.0000\)"/>
    <numFmt numFmtId="166" formatCode="0.0%"/>
    <numFmt numFmtId="167" formatCode="0.0"/>
    <numFmt numFmtId="168" formatCode="&quot;$&quot;#,##0.00"/>
    <numFmt numFmtId="169" formatCode="&quot;$&quot;#,##0.00_);[Red]\-&quot;$&quot;#,##0.00"/>
    <numFmt numFmtId="170" formatCode="&quot;$&quot;#,##0.000;\-&quot;$&quot;#,##0.000"/>
    <numFmt numFmtId="171" formatCode="#,##0_ ;\-#,##0\ "/>
    <numFmt numFmtId="172" formatCode="0.0%;\(0.0%\)"/>
    <numFmt numFmtId="173" formatCode="#,##0.0_ ;\-#,##0.0\ "/>
    <numFmt numFmtId="174" formatCode="&quot;$&quot;#,##0"/>
    <numFmt numFmtId="175" formatCode="&quot;$&quot;#,##0.000"/>
    <numFmt numFmtId="176" formatCode="&quot;Yes&quot;;&quot;Yes&quot;;&quot;No&quot;"/>
    <numFmt numFmtId="177" formatCode="&quot;True&quot;;&quot;True&quot;;&quot;False&quot;"/>
    <numFmt numFmtId="178" formatCode="&quot;On&quot;;&quot;On&quot;;&quot;Off&quot;"/>
    <numFmt numFmtId="179" formatCode="[$€-2]\ #,##0.00_);[Red]\([$€-2]\ #,##0.00\)"/>
  </numFmts>
  <fonts count="95">
    <font>
      <sz val="10"/>
      <name val="Arial"/>
      <family val="0"/>
    </font>
    <font>
      <sz val="11"/>
      <color indexed="8"/>
      <name val="Calibri"/>
      <family val="2"/>
    </font>
    <font>
      <sz val="8"/>
      <name val="Arial"/>
      <family val="2"/>
    </font>
    <font>
      <b/>
      <sz val="12"/>
      <color indexed="18"/>
      <name val="Arial"/>
      <family val="2"/>
    </font>
    <font>
      <sz val="12"/>
      <name val="Arial"/>
      <family val="2"/>
    </font>
    <font>
      <b/>
      <sz val="12"/>
      <color indexed="50"/>
      <name val="Arial"/>
      <family val="2"/>
    </font>
    <font>
      <b/>
      <sz val="10"/>
      <name val="Arial"/>
      <family val="2"/>
    </font>
    <font>
      <b/>
      <sz val="12"/>
      <color indexed="10"/>
      <name val="Arial"/>
      <family val="2"/>
    </font>
    <font>
      <sz val="14"/>
      <name val="Arial"/>
      <family val="2"/>
    </font>
    <font>
      <b/>
      <sz val="14"/>
      <name val="Arial"/>
      <family val="2"/>
    </font>
    <font>
      <b/>
      <sz val="14"/>
      <color indexed="18"/>
      <name val="Arial"/>
      <family val="2"/>
    </font>
    <font>
      <b/>
      <sz val="12"/>
      <color indexed="12"/>
      <name val="Arial"/>
      <family val="2"/>
    </font>
    <font>
      <b/>
      <sz val="12"/>
      <name val="Arial"/>
      <family val="2"/>
    </font>
    <font>
      <b/>
      <u val="single"/>
      <sz val="12"/>
      <name val="Arial"/>
      <family val="2"/>
    </font>
    <font>
      <u val="single"/>
      <sz val="12"/>
      <name val="Arial"/>
      <family val="2"/>
    </font>
    <font>
      <sz val="18"/>
      <color indexed="18"/>
      <name val="CG Times"/>
      <family val="1"/>
    </font>
    <font>
      <b/>
      <sz val="10"/>
      <color indexed="12"/>
      <name val="Arial"/>
      <family val="2"/>
    </font>
    <font>
      <vertAlign val="superscript"/>
      <sz val="12"/>
      <color indexed="10"/>
      <name val="Arial"/>
      <family val="2"/>
    </font>
    <font>
      <sz val="8"/>
      <name val="Tahoma"/>
      <family val="2"/>
    </font>
    <font>
      <b/>
      <sz val="8"/>
      <name val="Tahoma"/>
      <family val="2"/>
    </font>
    <font>
      <sz val="9"/>
      <name val="Tahoma"/>
      <family val="2"/>
    </font>
    <font>
      <b/>
      <sz val="20"/>
      <color indexed="18"/>
      <name val="Arial"/>
      <family val="2"/>
    </font>
    <font>
      <sz val="16"/>
      <color indexed="18"/>
      <name val="Arial"/>
      <family val="2"/>
    </font>
    <font>
      <sz val="11"/>
      <name val="Arial"/>
      <family val="2"/>
    </font>
    <font>
      <b/>
      <i/>
      <sz val="12"/>
      <name val="Arial"/>
      <family val="2"/>
    </font>
    <font>
      <b/>
      <u val="single"/>
      <sz val="14"/>
      <name val="Arial"/>
      <family val="2"/>
    </font>
    <font>
      <b/>
      <sz val="11"/>
      <name val="Arial"/>
      <family val="2"/>
    </font>
    <font>
      <sz val="10"/>
      <name val="Times New Roman"/>
      <family val="1"/>
    </font>
    <font>
      <i/>
      <sz val="10"/>
      <name val="Times New Roman"/>
      <family val="1"/>
    </font>
    <font>
      <b/>
      <u val="single"/>
      <sz val="11"/>
      <name val="Arial"/>
      <family val="2"/>
    </font>
    <font>
      <vertAlign val="superscript"/>
      <sz val="12"/>
      <name val="Arial"/>
      <family val="2"/>
    </font>
    <font>
      <sz val="22"/>
      <name val="Arial"/>
      <family val="2"/>
    </font>
    <font>
      <b/>
      <sz val="14"/>
      <color indexed="9"/>
      <name val="Arial"/>
      <family val="2"/>
    </font>
    <font>
      <b/>
      <u val="single"/>
      <vertAlign val="superscript"/>
      <sz val="11"/>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1"/>
      <color indexed="12"/>
      <name val="Arial"/>
      <family val="2"/>
    </font>
    <font>
      <sz val="12"/>
      <color indexed="9"/>
      <name val="Arial"/>
      <family val="2"/>
    </font>
    <font>
      <b/>
      <sz val="12"/>
      <color indexed="8"/>
      <name val="Arial"/>
      <family val="2"/>
    </font>
    <font>
      <b/>
      <sz val="10"/>
      <color indexed="8"/>
      <name val="Arial"/>
      <family val="2"/>
    </font>
    <font>
      <b/>
      <u val="single"/>
      <sz val="11"/>
      <color indexed="12"/>
      <name val="Arial"/>
      <family val="2"/>
    </font>
    <font>
      <b/>
      <sz val="12"/>
      <color indexed="9"/>
      <name val="Arial"/>
      <family val="2"/>
    </font>
    <font>
      <b/>
      <u val="single"/>
      <sz val="12"/>
      <color indexed="12"/>
      <name val="Arial"/>
      <family val="2"/>
    </font>
    <font>
      <sz val="10"/>
      <color indexed="9"/>
      <name val="Arial"/>
      <family val="2"/>
    </font>
    <font>
      <b/>
      <sz val="10"/>
      <color indexed="9"/>
      <name val="Arial"/>
      <family val="2"/>
    </font>
    <font>
      <b/>
      <sz val="16"/>
      <color indexed="9"/>
      <name val="Arial"/>
      <family val="2"/>
    </font>
    <font>
      <i/>
      <u val="single"/>
      <sz val="14"/>
      <color indexed="12"/>
      <name val="Arial"/>
      <family val="0"/>
    </font>
    <font>
      <u val="single"/>
      <sz val="14"/>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FF"/>
      <name val="Arial"/>
      <family val="2"/>
    </font>
    <font>
      <b/>
      <sz val="11"/>
      <color rgb="FF0000FF"/>
      <name val="Arial"/>
      <family val="2"/>
    </font>
    <font>
      <sz val="12"/>
      <color theme="0"/>
      <name val="Arial"/>
      <family val="2"/>
    </font>
    <font>
      <b/>
      <sz val="12"/>
      <color theme="1"/>
      <name val="Arial"/>
      <family val="2"/>
    </font>
    <font>
      <b/>
      <sz val="10"/>
      <color theme="1"/>
      <name val="Arial"/>
      <family val="2"/>
    </font>
    <font>
      <b/>
      <u val="single"/>
      <sz val="11"/>
      <color theme="10"/>
      <name val="Arial"/>
      <family val="2"/>
    </font>
    <font>
      <b/>
      <sz val="12"/>
      <color theme="0"/>
      <name val="Arial"/>
      <family val="2"/>
    </font>
    <font>
      <b/>
      <u val="single"/>
      <sz val="12"/>
      <color rgb="FF0000FF"/>
      <name val="Arial"/>
      <family val="2"/>
    </font>
    <font>
      <b/>
      <sz val="14"/>
      <color theme="0"/>
      <name val="Arial"/>
      <family val="2"/>
    </font>
    <font>
      <sz val="10"/>
      <color theme="0"/>
      <name val="Arial"/>
      <family val="2"/>
    </font>
    <font>
      <b/>
      <sz val="10"/>
      <color theme="0"/>
      <name val="Arial"/>
      <family val="2"/>
    </font>
    <font>
      <b/>
      <sz val="16"/>
      <color theme="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2499399930238723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style="thin"/>
      <right style="medium"/>
      <top style="medium"/>
      <bottom/>
    </border>
    <border>
      <left/>
      <right style="medium"/>
      <top style="medium"/>
      <bottom/>
    </border>
    <border>
      <left style="medium"/>
      <right style="medium"/>
      <top style="medium"/>
      <bottom/>
    </border>
    <border>
      <left style="thin"/>
      <right style="medium"/>
      <top/>
      <bottom/>
    </border>
    <border>
      <left/>
      <right style="medium"/>
      <top/>
      <bottom/>
    </border>
    <border>
      <left style="medium"/>
      <right style="medium"/>
      <top/>
      <bottom/>
    </border>
    <border>
      <left style="thin"/>
      <right style="medium"/>
      <top/>
      <bottom style="medium"/>
    </border>
    <border>
      <left/>
      <right style="medium"/>
      <top/>
      <bottom style="medium"/>
    </border>
    <border>
      <left style="medium"/>
      <right style="medium"/>
      <top/>
      <bottom style="mediu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style="thin"/>
      <right style="thin"/>
      <top style="thin"/>
      <bottom/>
    </border>
    <border>
      <left style="thin"/>
      <right style="thin"/>
      <top/>
      <bottom/>
    </border>
    <border>
      <left style="thin"/>
      <right style="thin"/>
      <top/>
      <bottom style="thin"/>
    </border>
    <border>
      <left/>
      <right/>
      <top/>
      <bottom style="thin">
        <color rgb="FF0000FF"/>
      </bottom>
    </border>
    <border>
      <left style="thin"/>
      <right/>
      <top style="thin"/>
      <bottom style="thin"/>
    </border>
    <border>
      <left style="thin"/>
      <right style="thin"/>
      <top style="thin"/>
      <bottom style="thin"/>
    </border>
    <border>
      <left style="medium"/>
      <right style="medium"/>
      <top style="medium"/>
      <bottom style="medium"/>
    </border>
    <border>
      <left/>
      <right style="thin"/>
      <top style="thin"/>
      <bottom style="thin"/>
    </border>
    <border>
      <left style="thin"/>
      <right>
        <color indexed="63"/>
      </right>
      <top style="thin">
        <color rgb="FF0000FF"/>
      </top>
      <bottom style="thin"/>
    </border>
    <border>
      <left style="medium"/>
      <right/>
      <top style="medium"/>
      <bottom style="medium"/>
    </border>
    <border>
      <left/>
      <right/>
      <top style="medium"/>
      <bottom style="medium"/>
    </border>
    <border>
      <left/>
      <right style="medium"/>
      <top style="medium"/>
      <bottom style="medium"/>
    </border>
    <border>
      <left/>
      <right/>
      <top/>
      <bottom style="medium"/>
    </border>
    <border>
      <left/>
      <right/>
      <top style="thin"/>
      <bottom style="thin"/>
    </border>
    <border>
      <left/>
      <right/>
      <top style="medium"/>
      <bottom/>
    </border>
  </borders>
  <cellStyleXfs count="68">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4" fillId="0" borderId="0">
      <alignment horizontal="right" vertical="justify"/>
      <protection/>
    </xf>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vertical="top"/>
      <protection/>
    </xf>
    <xf numFmtId="0" fontId="4" fillId="0" borderId="0">
      <alignment vertical="top"/>
      <protection/>
    </xf>
    <xf numFmtId="0" fontId="4" fillId="0" borderId="0">
      <alignment vertical="top"/>
      <protection/>
    </xf>
    <xf numFmtId="168" fontId="4" fillId="0" borderId="0">
      <alignment vertical="top"/>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541">
    <xf numFmtId="0" fontId="0" fillId="0" borderId="0" xfId="0" applyAlignment="1">
      <alignment/>
    </xf>
    <xf numFmtId="0" fontId="4" fillId="0" borderId="0" xfId="0" applyFont="1" applyAlignment="1">
      <alignment/>
    </xf>
    <xf numFmtId="0" fontId="8" fillId="0" borderId="0" xfId="0" applyFont="1" applyAlignment="1">
      <alignment/>
    </xf>
    <xf numFmtId="0" fontId="8" fillId="0" borderId="0" xfId="0" applyFont="1" applyFill="1" applyAlignment="1">
      <alignment/>
    </xf>
    <xf numFmtId="0" fontId="11" fillId="0" borderId="0" xfId="0" applyFont="1" applyAlignment="1" applyProtection="1">
      <alignment/>
      <protection locked="0"/>
    </xf>
    <xf numFmtId="0" fontId="11" fillId="0" borderId="0" xfId="0" applyFont="1" applyFill="1" applyAlignment="1" applyProtection="1">
      <alignment/>
      <protection locked="0"/>
    </xf>
    <xf numFmtId="168" fontId="4" fillId="0" borderId="0" xfId="61">
      <alignment vertical="top"/>
      <protection/>
    </xf>
    <xf numFmtId="168" fontId="15" fillId="0" borderId="0" xfId="61" applyFont="1" applyAlignment="1">
      <alignment horizontal="center" vertical="top"/>
      <protection/>
    </xf>
    <xf numFmtId="168" fontId="4" fillId="0" borderId="0" xfId="61" applyFont="1">
      <alignment vertical="top"/>
      <protection/>
    </xf>
    <xf numFmtId="0" fontId="4" fillId="0" borderId="0" xfId="0" applyFont="1" applyAlignment="1" applyProtection="1">
      <alignment/>
      <protection/>
    </xf>
    <xf numFmtId="0" fontId="12" fillId="0" borderId="0" xfId="0" applyFont="1" applyAlignment="1" applyProtection="1">
      <alignment/>
      <protection/>
    </xf>
    <xf numFmtId="169" fontId="12" fillId="0" borderId="0" xfId="0" applyNumberFormat="1" applyFont="1" applyFill="1" applyAlignment="1" applyProtection="1">
      <alignment/>
      <protection/>
    </xf>
    <xf numFmtId="0" fontId="10" fillId="0" borderId="0" xfId="0" applyFont="1" applyAlignment="1" applyProtection="1">
      <alignment horizontal="center"/>
      <protection/>
    </xf>
    <xf numFmtId="0" fontId="5" fillId="0" borderId="0" xfId="0" applyFont="1" applyAlignment="1" applyProtection="1">
      <alignment/>
      <protection/>
    </xf>
    <xf numFmtId="0" fontId="12" fillId="0" borderId="0" xfId="0" applyFont="1" applyAlignment="1" applyProtection="1">
      <alignment horizontal="center"/>
      <protection/>
    </xf>
    <xf numFmtId="0" fontId="14" fillId="0" borderId="0" xfId="0" applyFont="1" applyAlignment="1" applyProtection="1">
      <alignment horizontal="right"/>
      <protection/>
    </xf>
    <xf numFmtId="0" fontId="14" fillId="0" borderId="0" xfId="0" applyFont="1" applyAlignment="1" applyProtection="1">
      <alignment/>
      <protection/>
    </xf>
    <xf numFmtId="0" fontId="13" fillId="0" borderId="0" xfId="0" applyFont="1" applyAlignment="1" applyProtection="1">
      <alignment horizontal="center"/>
      <protection/>
    </xf>
    <xf numFmtId="7" fontId="4" fillId="0" borderId="0" xfId="0" applyNumberFormat="1" applyFont="1" applyAlignment="1" applyProtection="1">
      <alignment/>
      <protection/>
    </xf>
    <xf numFmtId="169" fontId="12" fillId="0" borderId="0" xfId="0" applyNumberFormat="1" applyFont="1" applyAlignment="1" applyProtection="1">
      <alignment/>
      <protection/>
    </xf>
    <xf numFmtId="0" fontId="0" fillId="0" borderId="0" xfId="0" applyFont="1" applyAlignment="1" applyProtection="1">
      <alignment/>
      <protection/>
    </xf>
    <xf numFmtId="0" fontId="13" fillId="0" borderId="0" xfId="0" applyFont="1" applyAlignment="1" applyProtection="1">
      <alignment/>
      <protection/>
    </xf>
    <xf numFmtId="0" fontId="4" fillId="0" borderId="0" xfId="0" applyFont="1" applyAlignment="1" applyProtection="1">
      <alignment horizontal="left"/>
      <protection/>
    </xf>
    <xf numFmtId="2" fontId="12" fillId="0" borderId="0" xfId="0" applyNumberFormat="1" applyFont="1" applyAlignment="1" applyProtection="1">
      <alignment horizontal="center"/>
      <protection/>
    </xf>
    <xf numFmtId="7" fontId="9" fillId="0" borderId="0" xfId="0" applyNumberFormat="1" applyFont="1" applyAlignment="1" applyProtection="1">
      <alignment/>
      <protection/>
    </xf>
    <xf numFmtId="168" fontId="4" fillId="0" borderId="0" xfId="61" applyFont="1" applyAlignment="1">
      <alignment horizontal="right" vertical="top"/>
      <protection/>
    </xf>
    <xf numFmtId="168" fontId="4" fillId="0" borderId="0" xfId="61" applyAlignment="1">
      <alignment horizontal="right" vertical="top"/>
      <protection/>
    </xf>
    <xf numFmtId="168" fontId="14" fillId="0" borderId="0" xfId="61" applyFont="1">
      <alignment vertical="top"/>
      <protection/>
    </xf>
    <xf numFmtId="168" fontId="4" fillId="0" borderId="0" xfId="61" applyFont="1" applyAlignment="1">
      <alignment vertical="top"/>
      <protection/>
    </xf>
    <xf numFmtId="0" fontId="3" fillId="0" borderId="0" xfId="0" applyFont="1" applyAlignment="1" applyProtection="1">
      <alignment horizontal="center"/>
      <protection/>
    </xf>
    <xf numFmtId="0" fontId="0" fillId="0" borderId="0" xfId="0" applyAlignment="1">
      <alignment horizontal="center"/>
    </xf>
    <xf numFmtId="168" fontId="12" fillId="0" borderId="0" xfId="61" applyFont="1">
      <alignment vertical="top"/>
      <protection/>
    </xf>
    <xf numFmtId="168" fontId="4" fillId="0" borderId="0" xfId="0" applyNumberFormat="1" applyFont="1" applyAlignment="1" applyProtection="1">
      <alignment/>
      <protection/>
    </xf>
    <xf numFmtId="0" fontId="9" fillId="0" borderId="0" xfId="0" applyFont="1" applyAlignment="1">
      <alignment/>
    </xf>
    <xf numFmtId="0" fontId="4" fillId="0" borderId="0" xfId="0" applyFont="1" applyBorder="1" applyAlignment="1" applyProtection="1">
      <alignment/>
      <protection/>
    </xf>
    <xf numFmtId="0" fontId="12" fillId="0" borderId="0" xfId="0" applyFont="1" applyBorder="1" applyAlignment="1" applyProtection="1">
      <alignment horizontal="centerContinuous"/>
      <protection/>
    </xf>
    <xf numFmtId="0" fontId="4" fillId="0" borderId="0" xfId="0" applyFont="1" applyBorder="1" applyAlignment="1" applyProtection="1">
      <alignment horizontal="centerContinuous"/>
      <protection/>
    </xf>
    <xf numFmtId="0" fontId="13" fillId="0" borderId="0" xfId="0" applyFont="1" applyBorder="1" applyAlignment="1" applyProtection="1">
      <alignment horizontal="left"/>
      <protection/>
    </xf>
    <xf numFmtId="0" fontId="13" fillId="0" borderId="0" xfId="0" applyFont="1" applyBorder="1" applyAlignment="1" applyProtection="1">
      <alignment horizontal="centerContinuous"/>
      <protection/>
    </xf>
    <xf numFmtId="0" fontId="11" fillId="0" borderId="0" xfId="0" applyFont="1" applyBorder="1" applyAlignment="1" applyProtection="1">
      <alignment/>
      <protection locked="0"/>
    </xf>
    <xf numFmtId="7" fontId="11" fillId="0" borderId="0" xfId="0" applyNumberFormat="1" applyFont="1" applyBorder="1" applyAlignment="1" applyProtection="1">
      <alignment/>
      <protection locked="0"/>
    </xf>
    <xf numFmtId="0" fontId="4" fillId="0" borderId="0" xfId="0" applyFont="1" applyBorder="1" applyAlignment="1">
      <alignment/>
    </xf>
    <xf numFmtId="0" fontId="4" fillId="0" borderId="0" xfId="0" applyFont="1" applyFill="1" applyBorder="1" applyAlignment="1" applyProtection="1">
      <alignment/>
      <protection/>
    </xf>
    <xf numFmtId="3" fontId="11" fillId="0" borderId="0" xfId="0" applyNumberFormat="1" applyFont="1" applyBorder="1" applyAlignment="1" applyProtection="1">
      <alignment/>
      <protection locked="0"/>
    </xf>
    <xf numFmtId="167" fontId="11" fillId="0" borderId="0" xfId="0" applyNumberFormat="1" applyFont="1" applyBorder="1" applyAlignment="1" applyProtection="1">
      <alignment/>
      <protection locked="0"/>
    </xf>
    <xf numFmtId="0" fontId="0" fillId="0" borderId="0" xfId="0" applyAlignment="1">
      <alignment vertical="top" wrapText="1"/>
    </xf>
    <xf numFmtId="0" fontId="12" fillId="0" borderId="0" xfId="0" applyFont="1" applyBorder="1" applyAlignment="1" applyProtection="1">
      <alignment horizontal="center"/>
      <protection/>
    </xf>
    <xf numFmtId="0" fontId="12" fillId="0" borderId="0" xfId="0" applyFont="1" applyBorder="1" applyAlignment="1" applyProtection="1">
      <alignment/>
      <protection/>
    </xf>
    <xf numFmtId="0" fontId="13" fillId="0" borderId="0" xfId="0" applyFont="1" applyBorder="1" applyAlignment="1" applyProtection="1">
      <alignment/>
      <protection/>
    </xf>
    <xf numFmtId="0" fontId="13" fillId="0" borderId="0" xfId="0" applyFont="1" applyBorder="1" applyAlignment="1" applyProtection="1">
      <alignment horizontal="center"/>
      <protection/>
    </xf>
    <xf numFmtId="169" fontId="12" fillId="0" borderId="0" xfId="0" applyNumberFormat="1" applyFont="1" applyFill="1" applyBorder="1" applyAlignment="1" applyProtection="1">
      <alignment/>
      <protection/>
    </xf>
    <xf numFmtId="164" fontId="11" fillId="0" borderId="0" xfId="44" applyFont="1" applyFill="1">
      <alignment horizontal="right" vertical="justify"/>
      <protection/>
    </xf>
    <xf numFmtId="7" fontId="11" fillId="0" borderId="0" xfId="0" applyNumberFormat="1" applyFont="1" applyFill="1" applyAlignment="1" applyProtection="1">
      <alignment/>
      <protection locked="0"/>
    </xf>
    <xf numFmtId="7" fontId="4" fillId="0" borderId="0" xfId="0" applyNumberFormat="1" applyFont="1" applyFill="1" applyAlignment="1" applyProtection="1">
      <alignment/>
      <protection/>
    </xf>
    <xf numFmtId="7" fontId="11" fillId="0" borderId="0" xfId="0" applyNumberFormat="1" applyFont="1" applyFill="1" applyBorder="1" applyAlignment="1" applyProtection="1">
      <alignment/>
      <protection locked="0"/>
    </xf>
    <xf numFmtId="168" fontId="11" fillId="0" borderId="0" xfId="0" applyNumberFormat="1" applyFont="1" applyFill="1" applyBorder="1" applyAlignment="1" applyProtection="1">
      <alignment/>
      <protection locked="0"/>
    </xf>
    <xf numFmtId="10" fontId="11" fillId="0" borderId="0" xfId="0" applyNumberFormat="1" applyFont="1" applyFill="1" applyAlignment="1" applyProtection="1">
      <alignment/>
      <protection locked="0"/>
    </xf>
    <xf numFmtId="168" fontId="4" fillId="0" borderId="0" xfId="61" applyFill="1">
      <alignment vertical="top"/>
      <protection/>
    </xf>
    <xf numFmtId="0" fontId="4" fillId="0" borderId="0" xfId="0" applyFont="1" applyAlignment="1" applyProtection="1">
      <alignment horizontal="right"/>
      <protection/>
    </xf>
    <xf numFmtId="171" fontId="8" fillId="0" borderId="0" xfId="0" applyNumberFormat="1" applyFont="1" applyFill="1" applyAlignment="1" applyProtection="1">
      <alignment/>
      <protection/>
    </xf>
    <xf numFmtId="4" fontId="11" fillId="0" borderId="0" xfId="0" applyNumberFormat="1" applyFont="1" applyBorder="1" applyAlignment="1" applyProtection="1">
      <alignment/>
      <protection locked="0"/>
    </xf>
    <xf numFmtId="0" fontId="5" fillId="0" borderId="0" xfId="0" applyFont="1" applyFill="1" applyAlignment="1" applyProtection="1">
      <alignment/>
      <protection/>
    </xf>
    <xf numFmtId="0" fontId="13" fillId="0" borderId="0" xfId="0" applyFont="1" applyFill="1" applyAlignment="1" applyProtection="1">
      <alignment horizontal="center"/>
      <protection/>
    </xf>
    <xf numFmtId="168" fontId="4" fillId="0" borderId="10" xfId="61" applyBorder="1">
      <alignment vertical="top"/>
      <protection/>
    </xf>
    <xf numFmtId="168" fontId="12" fillId="0" borderId="11" xfId="61" applyFont="1" applyBorder="1">
      <alignment vertical="top"/>
      <protection/>
    </xf>
    <xf numFmtId="168" fontId="12" fillId="0" borderId="0" xfId="61" applyFont="1" applyFill="1">
      <alignment vertical="top"/>
      <protection/>
    </xf>
    <xf numFmtId="172" fontId="9" fillId="0" borderId="0" xfId="0" applyNumberFormat="1" applyFont="1" applyFill="1" applyAlignment="1" applyProtection="1">
      <alignment/>
      <protection/>
    </xf>
    <xf numFmtId="168" fontId="13" fillId="0" borderId="0" xfId="61" applyFont="1">
      <alignment vertical="top"/>
      <protection/>
    </xf>
    <xf numFmtId="0" fontId="23" fillId="0" borderId="0" xfId="0" applyFont="1" applyFill="1" applyAlignment="1" applyProtection="1">
      <alignment/>
      <protection/>
    </xf>
    <xf numFmtId="168" fontId="4" fillId="0" borderId="0" xfId="61" applyFont="1" applyAlignment="1">
      <alignment vertical="top" wrapText="1"/>
      <protection/>
    </xf>
    <xf numFmtId="0" fontId="11" fillId="0" borderId="0" xfId="0" applyFont="1" applyFill="1" applyBorder="1" applyAlignment="1" applyProtection="1">
      <alignment/>
      <protection locked="0"/>
    </xf>
    <xf numFmtId="0" fontId="6" fillId="0" borderId="0" xfId="0" applyFont="1" applyFill="1" applyAlignment="1">
      <alignment/>
    </xf>
    <xf numFmtId="0" fontId="4" fillId="0" borderId="0" xfId="0" applyFont="1" applyFill="1" applyAlignment="1" applyProtection="1">
      <alignment/>
      <protection/>
    </xf>
    <xf numFmtId="0" fontId="12" fillId="0" borderId="0" xfId="0" applyFont="1" applyAlignment="1">
      <alignment/>
    </xf>
    <xf numFmtId="0" fontId="12" fillId="0" borderId="0" xfId="0" applyFont="1" applyFill="1" applyAlignment="1" applyProtection="1">
      <alignment/>
      <protection/>
    </xf>
    <xf numFmtId="0" fontId="12" fillId="0" borderId="0" xfId="0" applyFont="1" applyBorder="1" applyAlignment="1">
      <alignment horizontal="center"/>
    </xf>
    <xf numFmtId="7" fontId="12" fillId="0" borderId="0" xfId="0" applyNumberFormat="1" applyFont="1" applyFill="1" applyAlignment="1" applyProtection="1">
      <alignment/>
      <protection/>
    </xf>
    <xf numFmtId="7" fontId="14" fillId="0" borderId="0" xfId="0" applyNumberFormat="1" applyFont="1" applyFill="1" applyBorder="1" applyAlignment="1" applyProtection="1">
      <alignment/>
      <protection/>
    </xf>
    <xf numFmtId="7" fontId="12" fillId="0" borderId="0" xfId="0" applyNumberFormat="1" applyFont="1" applyAlignment="1" applyProtection="1">
      <alignment/>
      <protection/>
    </xf>
    <xf numFmtId="7" fontId="12" fillId="0" borderId="0" xfId="0" applyNumberFormat="1" applyFont="1" applyBorder="1" applyAlignment="1" applyProtection="1">
      <alignment/>
      <protection/>
    </xf>
    <xf numFmtId="0" fontId="4" fillId="0" borderId="0" xfId="0" applyFont="1" applyFill="1" applyAlignment="1">
      <alignment/>
    </xf>
    <xf numFmtId="5" fontId="4" fillId="0" borderId="0" xfId="0" applyNumberFormat="1" applyFont="1" applyFill="1" applyAlignment="1" applyProtection="1">
      <alignment/>
      <protection/>
    </xf>
    <xf numFmtId="164" fontId="4" fillId="0" borderId="0" xfId="0" applyNumberFormat="1" applyFont="1" applyFill="1" applyAlignment="1" applyProtection="1">
      <alignment/>
      <protection/>
    </xf>
    <xf numFmtId="172" fontId="12" fillId="0" borderId="0" xfId="0" applyNumberFormat="1" applyFont="1" applyFill="1" applyAlignment="1" applyProtection="1">
      <alignment/>
      <protection/>
    </xf>
    <xf numFmtId="167" fontId="12" fillId="0" borderId="0" xfId="0" applyNumberFormat="1" applyFont="1" applyFill="1" applyAlignment="1" applyProtection="1">
      <alignment/>
      <protection/>
    </xf>
    <xf numFmtId="167" fontId="4" fillId="0" borderId="0" xfId="0" applyNumberFormat="1" applyFont="1" applyFill="1" applyAlignment="1" applyProtection="1">
      <alignment/>
      <protection/>
    </xf>
    <xf numFmtId="168" fontId="4" fillId="0" borderId="0" xfId="0" applyNumberFormat="1" applyFont="1" applyFill="1" applyAlignment="1" applyProtection="1">
      <alignment/>
      <protection/>
    </xf>
    <xf numFmtId="1" fontId="4" fillId="0" borderId="0" xfId="0" applyNumberFormat="1" applyFont="1" applyFill="1" applyAlignment="1" applyProtection="1">
      <alignment/>
      <protection/>
    </xf>
    <xf numFmtId="0" fontId="24" fillId="0" borderId="0" xfId="0" applyNumberFormat="1" applyFont="1" applyFill="1" applyAlignment="1" applyProtection="1">
      <alignment horizontal="center"/>
      <protection/>
    </xf>
    <xf numFmtId="0" fontId="12" fillId="0" borderId="0" xfId="0" applyFont="1" applyFill="1" applyAlignment="1" applyProtection="1">
      <alignment horizontal="center" vertical="top" wrapText="1"/>
      <protection/>
    </xf>
    <xf numFmtId="7" fontId="82" fillId="0" borderId="0" xfId="0" applyNumberFormat="1" applyFont="1" applyFill="1" applyAlignment="1" applyProtection="1">
      <alignment/>
      <protection/>
    </xf>
    <xf numFmtId="171" fontId="82" fillId="0" borderId="0" xfId="0" applyNumberFormat="1" applyFont="1" applyFill="1" applyAlignment="1" applyProtection="1">
      <alignment/>
      <protection/>
    </xf>
    <xf numFmtId="7" fontId="4" fillId="0" borderId="0" xfId="0" applyNumberFormat="1" applyFont="1" applyAlignment="1">
      <alignment/>
    </xf>
    <xf numFmtId="9" fontId="82" fillId="0" borderId="0" xfId="0" applyNumberFormat="1" applyFont="1" applyBorder="1" applyAlignment="1">
      <alignment horizontal="center"/>
    </xf>
    <xf numFmtId="172" fontId="4" fillId="0" borderId="0" xfId="0" applyNumberFormat="1" applyFont="1" applyFill="1" applyAlignment="1" applyProtection="1">
      <alignment/>
      <protection/>
    </xf>
    <xf numFmtId="0" fontId="25" fillId="0" borderId="0" xfId="0" applyFont="1" applyFill="1" applyAlignment="1" applyProtection="1">
      <alignment/>
      <protection/>
    </xf>
    <xf numFmtId="0" fontId="12" fillId="0" borderId="0" xfId="0" applyFont="1" applyAlignment="1">
      <alignment horizontal="right"/>
    </xf>
    <xf numFmtId="0" fontId="4" fillId="0" borderId="0" xfId="0" applyFont="1" applyFill="1" applyAlignment="1" applyProtection="1">
      <alignment horizontal="left"/>
      <protection/>
    </xf>
    <xf numFmtId="173" fontId="4" fillId="0" borderId="0" xfId="0" applyNumberFormat="1" applyFont="1" applyFill="1" applyAlignment="1" applyProtection="1">
      <alignment/>
      <protection/>
    </xf>
    <xf numFmtId="0" fontId="9" fillId="0" borderId="0" xfId="0" applyFont="1" applyFill="1" applyAlignment="1" applyProtection="1">
      <alignment/>
      <protection/>
    </xf>
    <xf numFmtId="0" fontId="23" fillId="0" borderId="0" xfId="0" applyFont="1" applyAlignment="1" applyProtection="1">
      <alignment/>
      <protection/>
    </xf>
    <xf numFmtId="0" fontId="23" fillId="0" borderId="0" xfId="0" applyFont="1" applyAlignment="1">
      <alignment/>
    </xf>
    <xf numFmtId="171" fontId="4" fillId="0" borderId="0" xfId="0" applyNumberFormat="1" applyFont="1" applyFill="1" applyAlignment="1" applyProtection="1">
      <alignment horizontal="right"/>
      <protection/>
    </xf>
    <xf numFmtId="0" fontId="12" fillId="0" borderId="0" xfId="0" applyFont="1" applyFill="1" applyBorder="1" applyAlignment="1" applyProtection="1">
      <alignment/>
      <protection/>
    </xf>
    <xf numFmtId="172" fontId="12" fillId="0" borderId="0" xfId="0" applyNumberFormat="1" applyFont="1" applyFill="1" applyBorder="1" applyAlignment="1" applyProtection="1">
      <alignment/>
      <protection/>
    </xf>
    <xf numFmtId="0" fontId="12" fillId="0" borderId="0" xfId="0" applyFont="1" applyFill="1" applyAlignment="1" applyProtection="1">
      <alignment vertical="top" wrapText="1"/>
      <protection/>
    </xf>
    <xf numFmtId="0" fontId="26" fillId="0" borderId="0" xfId="0" applyFont="1" applyFill="1" applyAlignment="1" applyProtection="1">
      <alignment horizontal="center"/>
      <protection/>
    </xf>
    <xf numFmtId="0" fontId="23" fillId="0" borderId="0" xfId="0" applyFont="1" applyAlignment="1" applyProtection="1">
      <alignment horizontal="right"/>
      <protection/>
    </xf>
    <xf numFmtId="0" fontId="26" fillId="0" borderId="0" xfId="0" applyFont="1" applyFill="1" applyAlignment="1" applyProtection="1">
      <alignment horizontal="right"/>
      <protection/>
    </xf>
    <xf numFmtId="0" fontId="23" fillId="0" borderId="0" xfId="0" applyFont="1" applyAlignment="1">
      <alignment horizontal="right"/>
    </xf>
    <xf numFmtId="0" fontId="26" fillId="0" borderId="0" xfId="0" applyFont="1" applyFill="1" applyBorder="1" applyAlignment="1" applyProtection="1">
      <alignment horizontal="center"/>
      <protection/>
    </xf>
    <xf numFmtId="0" fontId="26" fillId="0" borderId="0" xfId="0" applyFont="1" applyBorder="1" applyAlignment="1">
      <alignment horizontal="center"/>
    </xf>
    <xf numFmtId="9" fontId="12" fillId="0" borderId="0" xfId="0" applyNumberFormat="1" applyFont="1" applyBorder="1" applyAlignment="1">
      <alignment horizontal="center"/>
    </xf>
    <xf numFmtId="0" fontId="8" fillId="0" borderId="0" xfId="0" applyFont="1" applyBorder="1" applyAlignment="1">
      <alignment/>
    </xf>
    <xf numFmtId="0" fontId="12" fillId="0" borderId="0" xfId="0" applyFont="1" applyBorder="1" applyAlignment="1">
      <alignment/>
    </xf>
    <xf numFmtId="0" fontId="82" fillId="0" borderId="0" xfId="0" applyFont="1" applyAlignment="1" applyProtection="1">
      <alignment horizontal="center"/>
      <protection/>
    </xf>
    <xf numFmtId="0" fontId="12" fillId="0" borderId="0" xfId="0" applyFont="1" applyFill="1" applyAlignment="1" applyProtection="1">
      <alignment horizontal="center"/>
      <protection/>
    </xf>
    <xf numFmtId="168" fontId="8" fillId="0" borderId="0" xfId="61" applyFont="1" applyAlignment="1">
      <alignment horizontal="left" vertical="top" wrapText="1"/>
      <protection/>
    </xf>
    <xf numFmtId="0" fontId="4" fillId="0" borderId="0" xfId="58" applyFont="1" applyAlignment="1">
      <alignment/>
      <protection/>
    </xf>
    <xf numFmtId="0" fontId="12" fillId="0" borderId="0" xfId="58" applyFont="1" applyAlignment="1">
      <alignment horizontal="center"/>
      <protection/>
    </xf>
    <xf numFmtId="0" fontId="13" fillId="0" borderId="0" xfId="58" applyFont="1" applyAlignment="1">
      <alignment/>
      <protection/>
    </xf>
    <xf numFmtId="0" fontId="13" fillId="0" borderId="0" xfId="58" applyFont="1" applyAlignment="1">
      <alignment horizontal="center"/>
      <protection/>
    </xf>
    <xf numFmtId="0" fontId="13" fillId="0" borderId="0" xfId="58" applyFont="1" applyBorder="1" applyAlignment="1">
      <alignment horizontal="center"/>
      <protection/>
    </xf>
    <xf numFmtId="0" fontId="4" fillId="0" borderId="0" xfId="58" applyFont="1" applyAlignment="1">
      <alignment horizontal="center"/>
      <protection/>
    </xf>
    <xf numFmtId="0" fontId="11" fillId="0" borderId="0" xfId="58" applyFont="1" applyAlignment="1">
      <alignment/>
      <protection/>
    </xf>
    <xf numFmtId="0" fontId="12" fillId="0" borderId="0" xfId="58" applyFont="1" applyProtection="1">
      <alignment vertical="top"/>
      <protection/>
    </xf>
    <xf numFmtId="0" fontId="12" fillId="0" borderId="0" xfId="58" applyFont="1" applyAlignment="1">
      <alignment/>
      <protection/>
    </xf>
    <xf numFmtId="17" fontId="9" fillId="0" borderId="0" xfId="61" applyNumberFormat="1" applyFont="1" applyAlignment="1">
      <alignment horizontal="right" vertical="top"/>
      <protection/>
    </xf>
    <xf numFmtId="0" fontId="0" fillId="0" borderId="0" xfId="58" applyAlignment="1">
      <alignment/>
      <protection/>
    </xf>
    <xf numFmtId="0" fontId="27" fillId="0" borderId="0" xfId="58" applyFont="1" applyAlignment="1">
      <alignment horizontal="center"/>
      <protection/>
    </xf>
    <xf numFmtId="0" fontId="0" fillId="0" borderId="12" xfId="58" applyFont="1" applyBorder="1" applyAlignment="1">
      <alignment horizontal="center" vertical="top" wrapText="1"/>
      <protection/>
    </xf>
    <xf numFmtId="0" fontId="0" fillId="0" borderId="13" xfId="58" applyFont="1" applyBorder="1" applyAlignment="1">
      <alignment horizontal="center" vertical="top" wrapText="1"/>
      <protection/>
    </xf>
    <xf numFmtId="0" fontId="0" fillId="0" borderId="14" xfId="58" applyFont="1" applyBorder="1" applyAlignment="1">
      <alignment horizontal="center" vertical="top" wrapText="1"/>
      <protection/>
    </xf>
    <xf numFmtId="0" fontId="2" fillId="0" borderId="14" xfId="58" applyFont="1" applyBorder="1" applyAlignment="1">
      <alignment vertical="top" wrapText="1"/>
      <protection/>
    </xf>
    <xf numFmtId="0" fontId="2" fillId="0" borderId="13" xfId="58" applyFont="1" applyBorder="1" applyAlignment="1">
      <alignment vertical="top" wrapText="1"/>
      <protection/>
    </xf>
    <xf numFmtId="0" fontId="0" fillId="0" borderId="15" xfId="58" applyFont="1" applyBorder="1" applyAlignment="1">
      <alignment horizontal="center" vertical="top" wrapText="1"/>
      <protection/>
    </xf>
    <xf numFmtId="0" fontId="0" fillId="0" borderId="16" xfId="58" applyFont="1" applyBorder="1" applyAlignment="1">
      <alignment horizontal="center" vertical="top" wrapText="1"/>
      <protection/>
    </xf>
    <xf numFmtId="0" fontId="6" fillId="0" borderId="17" xfId="58" applyFont="1" applyBorder="1" applyAlignment="1">
      <alignment vertical="top" wrapText="1"/>
      <protection/>
    </xf>
    <xf numFmtId="0" fontId="2" fillId="0" borderId="17" xfId="58" applyFont="1" applyBorder="1" applyAlignment="1">
      <alignment horizontal="center" vertical="top" wrapText="1"/>
      <protection/>
    </xf>
    <xf numFmtId="0" fontId="0" fillId="0" borderId="16" xfId="58" applyBorder="1" applyAlignment="1">
      <alignment vertical="top" wrapText="1"/>
      <protection/>
    </xf>
    <xf numFmtId="0" fontId="0" fillId="0" borderId="18" xfId="58" applyBorder="1" applyAlignment="1">
      <alignment vertical="top" wrapText="1"/>
      <protection/>
    </xf>
    <xf numFmtId="0" fontId="0" fillId="0" borderId="19" xfId="58" applyBorder="1" applyAlignment="1">
      <alignment vertical="top" wrapText="1"/>
      <protection/>
    </xf>
    <xf numFmtId="0" fontId="0" fillId="0" borderId="20" xfId="58" applyBorder="1" applyAlignment="1">
      <alignment vertical="top" wrapText="1"/>
      <protection/>
    </xf>
    <xf numFmtId="0" fontId="0" fillId="0" borderId="20" xfId="58" applyBorder="1" applyAlignment="1">
      <alignment/>
      <protection/>
    </xf>
    <xf numFmtId="0" fontId="12" fillId="0" borderId="0" xfId="0" applyFont="1" applyBorder="1" applyAlignment="1" applyProtection="1">
      <alignment horizontal="left"/>
      <protection/>
    </xf>
    <xf numFmtId="1" fontId="12" fillId="0" borderId="0" xfId="58" applyNumberFormat="1" applyFont="1" applyFill="1" applyAlignment="1">
      <alignment/>
      <protection/>
    </xf>
    <xf numFmtId="0" fontId="4" fillId="0" borderId="0" xfId="58" applyFont="1" applyFill="1" applyAlignment="1">
      <alignment/>
      <protection/>
    </xf>
    <xf numFmtId="0" fontId="82" fillId="0" borderId="0" xfId="0" applyFont="1" applyAlignment="1" applyProtection="1">
      <alignment horizontal="center"/>
      <protection locked="0"/>
    </xf>
    <xf numFmtId="0" fontId="12" fillId="0" borderId="0" xfId="0" applyFont="1" applyFill="1" applyAlignment="1">
      <alignment/>
    </xf>
    <xf numFmtId="167" fontId="4" fillId="0" borderId="0" xfId="58" applyNumberFormat="1" applyFont="1" applyAlignment="1">
      <alignment/>
      <protection/>
    </xf>
    <xf numFmtId="0" fontId="29" fillId="0" borderId="0" xfId="0" applyFont="1" applyFill="1" applyBorder="1" applyAlignment="1" applyProtection="1">
      <alignment horizontal="center"/>
      <protection/>
    </xf>
    <xf numFmtId="168" fontId="4" fillId="0" borderId="0" xfId="61" applyFont="1" applyAlignment="1">
      <alignment horizontal="left" vertical="top" wrapText="1"/>
      <protection/>
    </xf>
    <xf numFmtId="0" fontId="10" fillId="0" borderId="0" xfId="0" applyFont="1" applyFill="1" applyAlignment="1" applyProtection="1">
      <alignment horizontal="center"/>
      <protection/>
    </xf>
    <xf numFmtId="0" fontId="26" fillId="0" borderId="21" xfId="0" applyFont="1" applyFill="1" applyBorder="1" applyAlignment="1" applyProtection="1">
      <alignment horizontal="center"/>
      <protection/>
    </xf>
    <xf numFmtId="0" fontId="12" fillId="0" borderId="10" xfId="0" applyFont="1" applyFill="1" applyBorder="1" applyAlignment="1" applyProtection="1">
      <alignment/>
      <protection/>
    </xf>
    <xf numFmtId="0" fontId="12" fillId="0" borderId="21" xfId="0" applyFont="1" applyFill="1" applyBorder="1" applyAlignment="1" applyProtection="1">
      <alignment/>
      <protection/>
    </xf>
    <xf numFmtId="171" fontId="4" fillId="0" borderId="22" xfId="0" applyNumberFormat="1" applyFont="1" applyFill="1" applyBorder="1" applyAlignment="1" applyProtection="1">
      <alignment horizontal="right"/>
      <protection/>
    </xf>
    <xf numFmtId="171" fontId="4" fillId="0" borderId="0" xfId="0" applyNumberFormat="1" applyFont="1" applyFill="1" applyBorder="1" applyAlignment="1" applyProtection="1">
      <alignment horizontal="right"/>
      <protection/>
    </xf>
    <xf numFmtId="171" fontId="4" fillId="0" borderId="23" xfId="0" applyNumberFormat="1" applyFont="1" applyFill="1" applyBorder="1" applyAlignment="1" applyProtection="1">
      <alignment horizontal="right"/>
      <protection/>
    </xf>
    <xf numFmtId="7" fontId="12" fillId="0" borderId="22" xfId="0" applyNumberFormat="1" applyFont="1" applyFill="1" applyBorder="1" applyAlignment="1" applyProtection="1">
      <alignment/>
      <protection/>
    </xf>
    <xf numFmtId="7" fontId="12" fillId="0" borderId="0" xfId="0" applyNumberFormat="1" applyFont="1" applyFill="1" applyBorder="1" applyAlignment="1" applyProtection="1">
      <alignment/>
      <protection/>
    </xf>
    <xf numFmtId="7" fontId="12" fillId="0" borderId="23" xfId="0" applyNumberFormat="1" applyFont="1" applyFill="1" applyBorder="1" applyAlignment="1" applyProtection="1">
      <alignment horizontal="right"/>
      <protection/>
    </xf>
    <xf numFmtId="5" fontId="4" fillId="0" borderId="22" xfId="0" applyNumberFormat="1" applyFont="1" applyFill="1" applyBorder="1" applyAlignment="1" applyProtection="1">
      <alignment/>
      <protection/>
    </xf>
    <xf numFmtId="5" fontId="4" fillId="0" borderId="0" xfId="0" applyNumberFormat="1" applyFont="1" applyFill="1" applyBorder="1" applyAlignment="1" applyProtection="1">
      <alignment/>
      <protection/>
    </xf>
    <xf numFmtId="7" fontId="4" fillId="0" borderId="23" xfId="0" applyNumberFormat="1" applyFont="1" applyFill="1" applyBorder="1" applyAlignment="1" applyProtection="1">
      <alignment horizontal="right"/>
      <protection/>
    </xf>
    <xf numFmtId="0" fontId="4" fillId="0" borderId="22" xfId="0" applyFont="1" applyFill="1" applyBorder="1" applyAlignment="1" applyProtection="1">
      <alignment/>
      <protection/>
    </xf>
    <xf numFmtId="164" fontId="4" fillId="0" borderId="22" xfId="0" applyNumberFormat="1" applyFont="1" applyFill="1" applyBorder="1" applyAlignment="1" applyProtection="1">
      <alignment/>
      <protection/>
    </xf>
    <xf numFmtId="164" fontId="4" fillId="0" borderId="0" xfId="0" applyNumberFormat="1" applyFont="1" applyFill="1" applyBorder="1" applyAlignment="1" applyProtection="1">
      <alignment/>
      <protection/>
    </xf>
    <xf numFmtId="172" fontId="12" fillId="0" borderId="22" xfId="0" applyNumberFormat="1" applyFont="1" applyFill="1" applyBorder="1" applyAlignment="1" applyProtection="1">
      <alignment/>
      <protection/>
    </xf>
    <xf numFmtId="172" fontId="12" fillId="0" borderId="23" xfId="0" applyNumberFormat="1" applyFont="1" applyFill="1" applyBorder="1" applyAlignment="1" applyProtection="1">
      <alignment horizontal="right"/>
      <protection/>
    </xf>
    <xf numFmtId="7" fontId="4" fillId="0" borderId="22" xfId="0" applyNumberFormat="1" applyFont="1" applyFill="1" applyBorder="1" applyAlignment="1" applyProtection="1">
      <alignment/>
      <protection/>
    </xf>
    <xf numFmtId="7" fontId="4" fillId="0" borderId="0" xfId="0" applyNumberFormat="1" applyFont="1" applyFill="1" applyBorder="1" applyAlignment="1" applyProtection="1">
      <alignment/>
      <protection/>
    </xf>
    <xf numFmtId="167" fontId="12" fillId="0" borderId="22" xfId="0" applyNumberFormat="1" applyFont="1" applyFill="1" applyBorder="1" applyAlignment="1" applyProtection="1">
      <alignment/>
      <protection/>
    </xf>
    <xf numFmtId="167" fontId="12" fillId="0" borderId="0" xfId="0" applyNumberFormat="1" applyFont="1" applyFill="1" applyBorder="1" applyAlignment="1" applyProtection="1">
      <alignment/>
      <protection/>
    </xf>
    <xf numFmtId="167" fontId="12" fillId="0" borderId="23" xfId="0" applyNumberFormat="1" applyFont="1" applyFill="1" applyBorder="1" applyAlignment="1" applyProtection="1">
      <alignment horizontal="right"/>
      <protection/>
    </xf>
    <xf numFmtId="168" fontId="4" fillId="0" borderId="22" xfId="0" applyNumberFormat="1" applyFont="1" applyFill="1" applyBorder="1" applyAlignment="1" applyProtection="1">
      <alignment/>
      <protection/>
    </xf>
    <xf numFmtId="168" fontId="4" fillId="0" borderId="0" xfId="0" applyNumberFormat="1" applyFont="1" applyFill="1" applyBorder="1" applyAlignment="1" applyProtection="1">
      <alignment/>
      <protection/>
    </xf>
    <xf numFmtId="0" fontId="4" fillId="0" borderId="23" xfId="0" applyFont="1" applyFill="1" applyBorder="1" applyAlignment="1" applyProtection="1">
      <alignment horizontal="right"/>
      <protection/>
    </xf>
    <xf numFmtId="167" fontId="4" fillId="0" borderId="22" xfId="0" applyNumberFormat="1" applyFont="1" applyFill="1" applyBorder="1" applyAlignment="1" applyProtection="1">
      <alignment/>
      <protection/>
    </xf>
    <xf numFmtId="167" fontId="4" fillId="0" borderId="0" xfId="0" applyNumberFormat="1" applyFont="1" applyFill="1" applyBorder="1" applyAlignment="1" applyProtection="1">
      <alignment/>
      <protection/>
    </xf>
    <xf numFmtId="5" fontId="4" fillId="0" borderId="24" xfId="0" applyNumberFormat="1" applyFont="1" applyFill="1" applyBorder="1" applyAlignment="1" applyProtection="1">
      <alignment/>
      <protection/>
    </xf>
    <xf numFmtId="5" fontId="4" fillId="0" borderId="11" xfId="0" applyNumberFormat="1" applyFont="1" applyFill="1" applyBorder="1" applyAlignment="1" applyProtection="1">
      <alignment/>
      <protection/>
    </xf>
    <xf numFmtId="171" fontId="4" fillId="0" borderId="25" xfId="0" applyNumberFormat="1" applyFont="1" applyFill="1" applyBorder="1" applyAlignment="1" applyProtection="1">
      <alignment/>
      <protection/>
    </xf>
    <xf numFmtId="0" fontId="29" fillId="0" borderId="22" xfId="0" applyFont="1" applyFill="1" applyBorder="1" applyAlignment="1" applyProtection="1">
      <alignment horizontal="center"/>
      <protection/>
    </xf>
    <xf numFmtId="0" fontId="29" fillId="0" borderId="23" xfId="0" applyFont="1" applyFill="1" applyBorder="1" applyAlignment="1" applyProtection="1">
      <alignment horizontal="center"/>
      <protection/>
    </xf>
    <xf numFmtId="0" fontId="26" fillId="0" borderId="22" xfId="0" applyFont="1" applyFill="1" applyBorder="1" applyAlignment="1" applyProtection="1">
      <alignment horizontal="center"/>
      <protection/>
    </xf>
    <xf numFmtId="0" fontId="26" fillId="0" borderId="23" xfId="0" applyFont="1" applyFill="1" applyBorder="1" applyAlignment="1" applyProtection="1">
      <alignment horizontal="center"/>
      <protection/>
    </xf>
    <xf numFmtId="0" fontId="24" fillId="0" borderId="22"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4" fillId="0" borderId="23" xfId="0" applyNumberFormat="1" applyFont="1" applyFill="1" applyBorder="1" applyAlignment="1" applyProtection="1">
      <alignment horizontal="center"/>
      <protection/>
    </xf>
    <xf numFmtId="7" fontId="4" fillId="0" borderId="23" xfId="0" applyNumberFormat="1" applyFont="1" applyFill="1" applyBorder="1" applyAlignment="1" applyProtection="1">
      <alignment/>
      <protection/>
    </xf>
    <xf numFmtId="7" fontId="14" fillId="0" borderId="22" xfId="0" applyNumberFormat="1" applyFont="1" applyFill="1" applyBorder="1" applyAlignment="1" applyProtection="1">
      <alignment/>
      <protection/>
    </xf>
    <xf numFmtId="7" fontId="14" fillId="0" borderId="23" xfId="0" applyNumberFormat="1" applyFont="1" applyFill="1" applyBorder="1" applyAlignment="1" applyProtection="1">
      <alignment/>
      <protection/>
    </xf>
    <xf numFmtId="7" fontId="12" fillId="0" borderId="23" xfId="0" applyNumberFormat="1" applyFont="1" applyFill="1" applyBorder="1" applyAlignment="1" applyProtection="1">
      <alignment/>
      <protection/>
    </xf>
    <xf numFmtId="0" fontId="12" fillId="0" borderId="26" xfId="0" applyFont="1" applyFill="1" applyBorder="1" applyAlignment="1" applyProtection="1">
      <alignment/>
      <protection/>
    </xf>
    <xf numFmtId="5" fontId="4" fillId="0" borderId="23" xfId="0" applyNumberFormat="1" applyFont="1" applyFill="1" applyBorder="1" applyAlignment="1" applyProtection="1">
      <alignment/>
      <protection/>
    </xf>
    <xf numFmtId="0" fontId="4" fillId="0" borderId="23" xfId="0" applyFont="1" applyFill="1" applyBorder="1" applyAlignment="1" applyProtection="1">
      <alignment/>
      <protection/>
    </xf>
    <xf numFmtId="164" fontId="4" fillId="0" borderId="23" xfId="0" applyNumberFormat="1" applyFont="1" applyFill="1" applyBorder="1" applyAlignment="1" applyProtection="1">
      <alignment/>
      <protection/>
    </xf>
    <xf numFmtId="172" fontId="12" fillId="0" borderId="23" xfId="0" applyNumberFormat="1" applyFont="1" applyFill="1" applyBorder="1" applyAlignment="1" applyProtection="1">
      <alignment/>
      <protection/>
    </xf>
    <xf numFmtId="167" fontId="12" fillId="0" borderId="23" xfId="0" applyNumberFormat="1" applyFont="1" applyFill="1" applyBorder="1" applyAlignment="1" applyProtection="1">
      <alignment/>
      <protection/>
    </xf>
    <xf numFmtId="168" fontId="4" fillId="0" borderId="23" xfId="0" applyNumberFormat="1" applyFont="1" applyFill="1" applyBorder="1" applyAlignment="1" applyProtection="1">
      <alignment/>
      <protection/>
    </xf>
    <xf numFmtId="5" fontId="4" fillId="0" borderId="25" xfId="0" applyNumberFormat="1" applyFont="1" applyFill="1" applyBorder="1" applyAlignment="1" applyProtection="1">
      <alignment/>
      <protection/>
    </xf>
    <xf numFmtId="171" fontId="4" fillId="0" borderId="0" xfId="0" applyNumberFormat="1" applyFont="1" applyFill="1" applyBorder="1" applyAlignment="1" applyProtection="1">
      <alignment/>
      <protection/>
    </xf>
    <xf numFmtId="0" fontId="26" fillId="0" borderId="27" xfId="0" applyFont="1" applyFill="1" applyBorder="1" applyAlignment="1" applyProtection="1">
      <alignment horizontal="center"/>
      <protection/>
    </xf>
    <xf numFmtId="0" fontId="29" fillId="0" borderId="28" xfId="0" applyFont="1" applyFill="1" applyBorder="1" applyAlignment="1" applyProtection="1">
      <alignment horizontal="center"/>
      <protection/>
    </xf>
    <xf numFmtId="0" fontId="26" fillId="0" borderId="28" xfId="0" applyFont="1" applyFill="1" applyBorder="1" applyAlignment="1" applyProtection="1">
      <alignment horizontal="center"/>
      <protection/>
    </xf>
    <xf numFmtId="0" fontId="24" fillId="0" borderId="28" xfId="0" applyNumberFormat="1" applyFont="1" applyFill="1" applyBorder="1" applyAlignment="1" applyProtection="1">
      <alignment horizontal="center"/>
      <protection/>
    </xf>
    <xf numFmtId="7" fontId="4" fillId="0" borderId="28" xfId="0" applyNumberFormat="1" applyFont="1" applyFill="1" applyBorder="1" applyAlignment="1" applyProtection="1">
      <alignment vertical="center"/>
      <protection/>
    </xf>
    <xf numFmtId="7" fontId="4" fillId="0" borderId="28" xfId="0" applyNumberFormat="1" applyFont="1" applyFill="1" applyBorder="1" applyAlignment="1" applyProtection="1">
      <alignment/>
      <protection/>
    </xf>
    <xf numFmtId="7" fontId="12" fillId="0" borderId="28" xfId="0" applyNumberFormat="1" applyFont="1" applyFill="1" applyBorder="1" applyAlignment="1" applyProtection="1">
      <alignment/>
      <protection/>
    </xf>
    <xf numFmtId="7" fontId="14" fillId="0" borderId="28" xfId="0" applyNumberFormat="1" applyFont="1" applyFill="1" applyBorder="1" applyAlignment="1" applyProtection="1">
      <alignment/>
      <protection/>
    </xf>
    <xf numFmtId="171" fontId="4" fillId="0" borderId="28" xfId="0" applyNumberFormat="1" applyFont="1" applyFill="1" applyBorder="1" applyAlignment="1" applyProtection="1">
      <alignment horizontal="right"/>
      <protection/>
    </xf>
    <xf numFmtId="5" fontId="4" fillId="0" borderId="28" xfId="0" applyNumberFormat="1" applyFont="1" applyFill="1" applyBorder="1" applyAlignment="1" applyProtection="1">
      <alignment/>
      <protection/>
    </xf>
    <xf numFmtId="0" fontId="4" fillId="0" borderId="28" xfId="0" applyFont="1" applyFill="1" applyBorder="1" applyAlignment="1" applyProtection="1">
      <alignment/>
      <protection/>
    </xf>
    <xf numFmtId="164" fontId="4" fillId="0" borderId="28" xfId="0" applyNumberFormat="1" applyFont="1" applyFill="1" applyBorder="1" applyAlignment="1" applyProtection="1">
      <alignment/>
      <protection/>
    </xf>
    <xf numFmtId="172" fontId="12" fillId="0" borderId="28" xfId="0" applyNumberFormat="1" applyFont="1" applyFill="1" applyBorder="1" applyAlignment="1" applyProtection="1">
      <alignment/>
      <protection/>
    </xf>
    <xf numFmtId="167" fontId="12" fillId="0" borderId="28" xfId="0" applyNumberFormat="1" applyFont="1" applyFill="1" applyBorder="1" applyAlignment="1" applyProtection="1">
      <alignment/>
      <protection/>
    </xf>
    <xf numFmtId="168" fontId="4" fillId="0" borderId="28" xfId="0" applyNumberFormat="1" applyFont="1" applyFill="1" applyBorder="1" applyAlignment="1" applyProtection="1">
      <alignment/>
      <protection/>
    </xf>
    <xf numFmtId="5" fontId="4" fillId="0" borderId="29" xfId="0" applyNumberFormat="1" applyFont="1" applyFill="1" applyBorder="1" applyAlignment="1" applyProtection="1">
      <alignment/>
      <protection/>
    </xf>
    <xf numFmtId="1" fontId="12" fillId="0" borderId="22" xfId="0" applyNumberFormat="1" applyFont="1" applyFill="1" applyBorder="1" applyAlignment="1" applyProtection="1">
      <alignment/>
      <protection/>
    </xf>
    <xf numFmtId="1" fontId="12" fillId="0" borderId="23" xfId="0" applyNumberFormat="1" applyFont="1" applyFill="1" applyBorder="1" applyAlignment="1" applyProtection="1">
      <alignment/>
      <protection/>
    </xf>
    <xf numFmtId="1" fontId="4" fillId="0" borderId="23" xfId="0" applyNumberFormat="1" applyFont="1" applyFill="1" applyBorder="1" applyAlignment="1" applyProtection="1">
      <alignment horizontal="right"/>
      <protection/>
    </xf>
    <xf numFmtId="1" fontId="12" fillId="0" borderId="23" xfId="0" applyNumberFormat="1" applyFont="1" applyFill="1" applyBorder="1" applyAlignment="1" applyProtection="1">
      <alignment horizontal="right"/>
      <protection/>
    </xf>
    <xf numFmtId="1" fontId="4" fillId="0" borderId="23" xfId="0" applyNumberFormat="1" applyFont="1" applyFill="1" applyBorder="1" applyAlignment="1" applyProtection="1">
      <alignment/>
      <protection/>
    </xf>
    <xf numFmtId="1" fontId="4" fillId="0" borderId="28" xfId="0" applyNumberFormat="1" applyFont="1" applyFill="1" applyBorder="1" applyAlignment="1" applyProtection="1">
      <alignment/>
      <protection/>
    </xf>
    <xf numFmtId="1" fontId="12" fillId="0" borderId="28" xfId="0" applyNumberFormat="1" applyFont="1" applyFill="1" applyBorder="1" applyAlignment="1" applyProtection="1">
      <alignment/>
      <protection/>
    </xf>
    <xf numFmtId="0" fontId="26" fillId="0" borderId="23" xfId="0" applyFont="1" applyFill="1" applyBorder="1" applyAlignment="1" applyProtection="1">
      <alignment horizontal="right"/>
      <protection/>
    </xf>
    <xf numFmtId="1" fontId="4" fillId="0" borderId="0" xfId="0" applyNumberFormat="1" applyFont="1" applyFill="1" applyBorder="1" applyAlignment="1" applyProtection="1">
      <alignment/>
      <protection/>
    </xf>
    <xf numFmtId="1" fontId="12" fillId="0" borderId="0" xfId="0" applyNumberFormat="1" applyFont="1" applyFill="1" applyBorder="1" applyAlignment="1" applyProtection="1">
      <alignment/>
      <protection/>
    </xf>
    <xf numFmtId="0" fontId="26" fillId="0" borderId="26" xfId="0" applyFont="1" applyFill="1" applyBorder="1" applyAlignment="1" applyProtection="1">
      <alignment horizontal="center"/>
      <protection/>
    </xf>
    <xf numFmtId="0" fontId="26" fillId="0" borderId="10" xfId="0" applyFont="1" applyFill="1" applyBorder="1" applyAlignment="1" applyProtection="1">
      <alignment horizontal="center"/>
      <protection/>
    </xf>
    <xf numFmtId="0" fontId="26" fillId="0" borderId="0" xfId="0" applyFont="1" applyFill="1" applyBorder="1" applyAlignment="1">
      <alignment horizontal="center"/>
    </xf>
    <xf numFmtId="0" fontId="26" fillId="0" borderId="23" xfId="0" applyFont="1" applyFill="1" applyBorder="1" applyAlignment="1">
      <alignment horizontal="center"/>
    </xf>
    <xf numFmtId="0" fontId="0" fillId="0" borderId="0" xfId="0" applyFont="1" applyFill="1" applyBorder="1" applyAlignment="1" applyProtection="1">
      <alignment/>
      <protection/>
    </xf>
    <xf numFmtId="7" fontId="12" fillId="0" borderId="24" xfId="0" applyNumberFormat="1" applyFont="1" applyFill="1" applyBorder="1" applyAlignment="1" applyProtection="1">
      <alignment/>
      <protection/>
    </xf>
    <xf numFmtId="0" fontId="8" fillId="0" borderId="26" xfId="0" applyFont="1" applyFill="1" applyBorder="1" applyAlignment="1">
      <alignment/>
    </xf>
    <xf numFmtId="0" fontId="8" fillId="0" borderId="27" xfId="0" applyFont="1" applyFill="1" applyBorder="1" applyAlignment="1">
      <alignment/>
    </xf>
    <xf numFmtId="168" fontId="4" fillId="0" borderId="0" xfId="61" applyFont="1" applyFill="1" applyAlignment="1">
      <alignment horizontal="left" vertical="top" wrapText="1"/>
      <protection/>
    </xf>
    <xf numFmtId="0" fontId="12" fillId="0" borderId="0" xfId="0" applyFont="1" applyFill="1" applyBorder="1" applyAlignment="1" applyProtection="1">
      <alignment horizontal="center" vertical="top" wrapText="1"/>
      <protection/>
    </xf>
    <xf numFmtId="0" fontId="0" fillId="0" borderId="0" xfId="0" applyBorder="1" applyAlignment="1">
      <alignment horizontal="center" vertical="top" wrapText="1"/>
    </xf>
    <xf numFmtId="0" fontId="0" fillId="0" borderId="0" xfId="0" applyBorder="1" applyAlignment="1">
      <alignment vertical="top" wrapText="1"/>
    </xf>
    <xf numFmtId="0" fontId="12" fillId="0" borderId="0" xfId="0" applyFont="1" applyFill="1" applyBorder="1" applyAlignment="1" applyProtection="1">
      <alignment horizontal="center" wrapText="1"/>
      <protection/>
    </xf>
    <xf numFmtId="0" fontId="9" fillId="0" borderId="0" xfId="61" applyNumberFormat="1" applyFont="1" applyAlignment="1">
      <alignment horizontal="left" vertical="top"/>
      <protection/>
    </xf>
    <xf numFmtId="168" fontId="8" fillId="0" borderId="0" xfId="61" applyFont="1" applyAlignment="1">
      <alignment vertical="top"/>
      <protection/>
    </xf>
    <xf numFmtId="168" fontId="8" fillId="0" borderId="0" xfId="61" applyFont="1" applyAlignment="1">
      <alignment horizontal="center" vertical="top" wrapText="1"/>
      <protection/>
    </xf>
    <xf numFmtId="168" fontId="82" fillId="0" borderId="0" xfId="0" applyNumberFormat="1" applyFont="1" applyAlignment="1" applyProtection="1">
      <alignment horizontal="right"/>
      <protection locked="0"/>
    </xf>
    <xf numFmtId="171" fontId="12" fillId="0" borderId="0" xfId="0" applyNumberFormat="1" applyFont="1" applyFill="1" applyBorder="1" applyAlignment="1" applyProtection="1">
      <alignment/>
      <protection/>
    </xf>
    <xf numFmtId="171" fontId="12" fillId="0" borderId="23" xfId="0" applyNumberFormat="1" applyFont="1" applyFill="1" applyBorder="1" applyAlignment="1" applyProtection="1">
      <alignment horizontal="right"/>
      <protection/>
    </xf>
    <xf numFmtId="171" fontId="12" fillId="0" borderId="23" xfId="0" applyNumberFormat="1" applyFont="1" applyFill="1" applyBorder="1" applyAlignment="1" applyProtection="1">
      <alignment/>
      <protection/>
    </xf>
    <xf numFmtId="171" fontId="12" fillId="0" borderId="28" xfId="0" applyNumberFormat="1" applyFont="1" applyFill="1" applyBorder="1" applyAlignment="1" applyProtection="1">
      <alignment/>
      <protection/>
    </xf>
    <xf numFmtId="171" fontId="12" fillId="0" borderId="0" xfId="0" applyNumberFormat="1" applyFont="1" applyFill="1" applyAlignment="1" applyProtection="1">
      <alignment/>
      <protection/>
    </xf>
    <xf numFmtId="0" fontId="11" fillId="0" borderId="0" xfId="58" applyFont="1" applyAlignment="1" applyProtection="1">
      <alignment/>
      <protection locked="0"/>
    </xf>
    <xf numFmtId="7" fontId="11" fillId="0" borderId="0" xfId="0" applyNumberFormat="1" applyFont="1" applyFill="1" applyBorder="1" applyAlignment="1" applyProtection="1">
      <alignment/>
      <protection/>
    </xf>
    <xf numFmtId="0" fontId="0" fillId="0" borderId="0" xfId="0" applyAlignment="1" applyProtection="1">
      <alignment/>
      <protection/>
    </xf>
    <xf numFmtId="7" fontId="11" fillId="0" borderId="0" xfId="0" applyNumberFormat="1" applyFont="1" applyFill="1" applyAlignment="1" applyProtection="1">
      <alignment/>
      <protection/>
    </xf>
    <xf numFmtId="0" fontId="4" fillId="0" borderId="22" xfId="0" applyFont="1" applyBorder="1" applyAlignment="1" applyProtection="1">
      <alignment/>
      <protection/>
    </xf>
    <xf numFmtId="168" fontId="11" fillId="0" borderId="0" xfId="0" applyNumberFormat="1" applyFont="1" applyFill="1" applyAlignment="1" applyProtection="1">
      <alignment/>
      <protection/>
    </xf>
    <xf numFmtId="0" fontId="4" fillId="0" borderId="0" xfId="0" applyFont="1" applyFill="1" applyAlignment="1" applyProtection="1" quotePrefix="1">
      <alignment/>
      <protection/>
    </xf>
    <xf numFmtId="168" fontId="11" fillId="0" borderId="0" xfId="0" applyNumberFormat="1" applyFont="1" applyFill="1" applyAlignment="1" applyProtection="1">
      <alignment/>
      <protection locked="0"/>
    </xf>
    <xf numFmtId="3" fontId="4" fillId="0" borderId="0" xfId="0" applyNumberFormat="1" applyFont="1" applyAlignment="1" applyProtection="1">
      <alignment horizontal="center"/>
      <protection/>
    </xf>
    <xf numFmtId="3" fontId="4" fillId="0" borderId="11" xfId="0" applyNumberFormat="1" applyFont="1" applyBorder="1" applyAlignment="1" applyProtection="1">
      <alignment horizontal="center"/>
      <protection/>
    </xf>
    <xf numFmtId="2" fontId="12" fillId="0" borderId="11" xfId="0" applyNumberFormat="1" applyFont="1" applyBorder="1" applyAlignment="1" applyProtection="1">
      <alignment horizontal="center"/>
      <protection/>
    </xf>
    <xf numFmtId="0" fontId="12" fillId="0" borderId="0" xfId="0" applyFont="1" applyAlignment="1" applyProtection="1">
      <alignment horizontal="right"/>
      <protection/>
    </xf>
    <xf numFmtId="3" fontId="82" fillId="0" borderId="0" xfId="0" applyNumberFormat="1" applyFont="1" applyAlignment="1" applyProtection="1">
      <alignment horizontal="center"/>
      <protection locked="0"/>
    </xf>
    <xf numFmtId="0" fontId="0" fillId="0" borderId="15" xfId="58" applyFont="1" applyFill="1" applyBorder="1" applyAlignment="1">
      <alignment vertical="top" wrapText="1"/>
      <protection/>
    </xf>
    <xf numFmtId="0" fontId="0" fillId="0" borderId="0" xfId="58" applyFill="1" applyAlignment="1">
      <alignment/>
      <protection/>
    </xf>
    <xf numFmtId="0" fontId="28" fillId="0" borderId="18" xfId="58" applyFont="1" applyFill="1" applyBorder="1" applyAlignment="1">
      <alignment vertical="top" wrapText="1"/>
      <protection/>
    </xf>
    <xf numFmtId="0" fontId="27" fillId="0" borderId="18" xfId="58" applyFont="1" applyFill="1" applyBorder="1" applyAlignment="1">
      <alignment vertical="top" wrapText="1"/>
      <protection/>
    </xf>
    <xf numFmtId="168" fontId="23" fillId="0" borderId="0" xfId="61" applyFont="1" applyFill="1">
      <alignment vertical="top"/>
      <protection/>
    </xf>
    <xf numFmtId="168" fontId="4" fillId="0" borderId="0" xfId="61" applyBorder="1">
      <alignment vertical="top"/>
      <protection/>
    </xf>
    <xf numFmtId="168" fontId="31" fillId="0" borderId="0" xfId="61" applyFont="1" applyBorder="1" applyAlignment="1">
      <alignment vertical="center"/>
      <protection/>
    </xf>
    <xf numFmtId="168" fontId="4" fillId="0" borderId="0" xfId="61" applyBorder="1" applyAlignment="1">
      <alignment vertical="center"/>
      <protection/>
    </xf>
    <xf numFmtId="168" fontId="4" fillId="0" borderId="0" xfId="61" applyAlignment="1">
      <alignment vertical="center"/>
      <protection/>
    </xf>
    <xf numFmtId="168" fontId="8" fillId="0" borderId="0" xfId="61" applyFont="1" applyAlignment="1">
      <alignment vertical="top" wrapText="1"/>
      <protection/>
    </xf>
    <xf numFmtId="168" fontId="82" fillId="0" borderId="30" xfId="0" applyNumberFormat="1" applyFont="1" applyBorder="1" applyAlignment="1" applyProtection="1">
      <alignment/>
      <protection locked="0"/>
    </xf>
    <xf numFmtId="0" fontId="83" fillId="0" borderId="11" xfId="0" applyFont="1" applyBorder="1" applyAlignment="1">
      <alignment horizontal="center"/>
    </xf>
    <xf numFmtId="0" fontId="84" fillId="33" borderId="0" xfId="0" applyFont="1" applyFill="1" applyAlignment="1" applyProtection="1">
      <alignment/>
      <protection/>
    </xf>
    <xf numFmtId="171" fontId="82" fillId="0" borderId="22" xfId="0" applyNumberFormat="1" applyFont="1" applyFill="1" applyBorder="1" applyAlignment="1" applyProtection="1">
      <alignment/>
      <protection locked="0"/>
    </xf>
    <xf numFmtId="7" fontId="12" fillId="0" borderId="31" xfId="0" applyNumberFormat="1" applyFont="1" applyFill="1" applyBorder="1" applyAlignment="1" applyProtection="1">
      <alignment/>
      <protection/>
    </xf>
    <xf numFmtId="168" fontId="12" fillId="0" borderId="24" xfId="0" applyNumberFormat="1" applyFont="1" applyFill="1" applyBorder="1" applyAlignment="1" applyProtection="1">
      <alignment/>
      <protection/>
    </xf>
    <xf numFmtId="7" fontId="4" fillId="0" borderId="24" xfId="0" applyNumberFormat="1" applyFont="1" applyFill="1" applyBorder="1" applyAlignment="1" applyProtection="1">
      <alignment/>
      <protection/>
    </xf>
    <xf numFmtId="167" fontId="4" fillId="0" borderId="24" xfId="0" applyNumberFormat="1" applyFont="1" applyFill="1" applyBorder="1" applyAlignment="1" applyProtection="1">
      <alignment/>
      <protection/>
    </xf>
    <xf numFmtId="167" fontId="12" fillId="0" borderId="31" xfId="0" applyNumberFormat="1" applyFont="1" applyFill="1" applyBorder="1" applyAlignment="1" applyProtection="1">
      <alignment/>
      <protection/>
    </xf>
    <xf numFmtId="164" fontId="12" fillId="0" borderId="24" xfId="0" applyNumberFormat="1" applyFont="1" applyFill="1" applyBorder="1" applyAlignment="1" applyProtection="1">
      <alignment/>
      <protection/>
    </xf>
    <xf numFmtId="166" fontId="12" fillId="0" borderId="24" xfId="0" applyNumberFormat="1" applyFont="1" applyFill="1" applyBorder="1" applyAlignment="1" applyProtection="1">
      <alignment/>
      <protection/>
    </xf>
    <xf numFmtId="0" fontId="4" fillId="34" borderId="0" xfId="0" applyFont="1" applyFill="1" applyAlignment="1" applyProtection="1">
      <alignment/>
      <protection/>
    </xf>
    <xf numFmtId="171" fontId="4" fillId="34" borderId="0" xfId="0" applyNumberFormat="1" applyFont="1" applyFill="1" applyAlignment="1" applyProtection="1">
      <alignment horizontal="right"/>
      <protection/>
    </xf>
    <xf numFmtId="0" fontId="4" fillId="34" borderId="0" xfId="0" applyFont="1" applyFill="1" applyAlignment="1">
      <alignment/>
    </xf>
    <xf numFmtId="0" fontId="12" fillId="34" borderId="32" xfId="0" applyFont="1" applyFill="1" applyBorder="1" applyAlignment="1">
      <alignment horizontal="center"/>
    </xf>
    <xf numFmtId="0" fontId="8" fillId="34" borderId="0" xfId="0" applyFont="1" applyFill="1" applyAlignment="1">
      <alignment/>
    </xf>
    <xf numFmtId="0" fontId="9" fillId="34" borderId="0" xfId="0" applyFont="1" applyFill="1" applyAlignment="1" applyProtection="1">
      <alignment horizontal="right"/>
      <protection/>
    </xf>
    <xf numFmtId="0" fontId="12" fillId="34" borderId="0" xfId="0" applyFont="1" applyFill="1" applyAlignment="1">
      <alignment/>
    </xf>
    <xf numFmtId="9" fontId="82" fillId="34" borderId="0" xfId="0" applyNumberFormat="1" applyFont="1" applyFill="1" applyBorder="1" applyAlignment="1" applyProtection="1">
      <alignment horizontal="center"/>
      <protection locked="0"/>
    </xf>
    <xf numFmtId="9" fontId="82" fillId="0" borderId="32" xfId="0" applyNumberFormat="1" applyFont="1" applyFill="1" applyBorder="1" applyAlignment="1" applyProtection="1">
      <alignment horizontal="center"/>
      <protection locked="0"/>
    </xf>
    <xf numFmtId="0" fontId="11" fillId="0" borderId="0" xfId="58" applyFont="1" applyAlignment="1" applyProtection="1">
      <alignment/>
      <protection/>
    </xf>
    <xf numFmtId="0" fontId="4" fillId="0" borderId="0" xfId="58" applyFont="1" applyAlignment="1" applyProtection="1">
      <alignment/>
      <protection/>
    </xf>
    <xf numFmtId="0" fontId="13" fillId="0" borderId="0" xfId="0" applyFont="1" applyFill="1" applyBorder="1" applyAlignment="1" applyProtection="1">
      <alignment horizontal="centerContinuous"/>
      <protection/>
    </xf>
    <xf numFmtId="0" fontId="12" fillId="0" borderId="0" xfId="0" applyFont="1" applyAlignment="1">
      <alignment horizontal="center"/>
    </xf>
    <xf numFmtId="174" fontId="82" fillId="0" borderId="0" xfId="0" applyNumberFormat="1" applyFont="1" applyFill="1" applyAlignment="1" applyProtection="1">
      <alignment/>
      <protection locked="0"/>
    </xf>
    <xf numFmtId="175" fontId="12" fillId="0" borderId="0" xfId="0" applyNumberFormat="1" applyFont="1" applyFill="1" applyAlignment="1" applyProtection="1">
      <alignment/>
      <protection/>
    </xf>
    <xf numFmtId="175" fontId="12" fillId="0" borderId="0" xfId="0" applyNumberFormat="1" applyFont="1" applyAlignment="1" applyProtection="1">
      <alignment/>
      <protection/>
    </xf>
    <xf numFmtId="0" fontId="0" fillId="0" borderId="0" xfId="0" applyFill="1" applyAlignment="1">
      <alignment vertical="top" wrapText="1"/>
    </xf>
    <xf numFmtId="168" fontId="12" fillId="0" borderId="0" xfId="0" applyNumberFormat="1" applyFont="1" applyFill="1" applyAlignment="1" applyProtection="1">
      <alignment/>
      <protection/>
    </xf>
    <xf numFmtId="7" fontId="4" fillId="0" borderId="0" xfId="58" applyNumberFormat="1" applyFont="1" applyAlignment="1">
      <alignment/>
      <protection/>
    </xf>
    <xf numFmtId="168" fontId="12" fillId="0" borderId="0" xfId="61" applyFont="1" applyAlignment="1">
      <alignment horizontal="left" vertical="top"/>
      <protection/>
    </xf>
    <xf numFmtId="0" fontId="85" fillId="0" borderId="0" xfId="0" applyFont="1" applyBorder="1" applyAlignment="1" applyProtection="1">
      <alignment/>
      <protection/>
    </xf>
    <xf numFmtId="0" fontId="0" fillId="0" borderId="0" xfId="0" applyFill="1" applyAlignment="1" applyProtection="1">
      <alignment/>
      <protection/>
    </xf>
    <xf numFmtId="0" fontId="85" fillId="0" borderId="0" xfId="0" applyFont="1" applyBorder="1" applyAlignment="1" applyProtection="1">
      <alignment horizontal="right"/>
      <protection/>
    </xf>
    <xf numFmtId="0" fontId="86" fillId="0" borderId="11" xfId="0" applyFont="1" applyBorder="1" applyAlignment="1" applyProtection="1">
      <alignment horizontal="left"/>
      <protection/>
    </xf>
    <xf numFmtId="0" fontId="86" fillId="0" borderId="11" xfId="0" applyFont="1" applyBorder="1" applyAlignment="1" applyProtection="1">
      <alignment horizontal="left" wrapText="1"/>
      <protection/>
    </xf>
    <xf numFmtId="0" fontId="0" fillId="0" borderId="11" xfId="0" applyBorder="1" applyAlignment="1" applyProtection="1">
      <alignment/>
      <protection/>
    </xf>
    <xf numFmtId="0" fontId="0" fillId="0" borderId="0" xfId="0" applyBorder="1" applyAlignment="1">
      <alignment/>
    </xf>
    <xf numFmtId="0" fontId="85" fillId="0" borderId="0" xfId="0" applyFont="1" applyBorder="1" applyAlignment="1">
      <alignment horizontal="left" vertical="center"/>
    </xf>
    <xf numFmtId="0" fontId="86" fillId="0" borderId="0" xfId="0" applyFont="1" applyBorder="1" applyAlignment="1">
      <alignment/>
    </xf>
    <xf numFmtId="168" fontId="26" fillId="0" borderId="0" xfId="61" applyFont="1">
      <alignment vertical="top"/>
      <protection/>
    </xf>
    <xf numFmtId="168" fontId="87" fillId="0" borderId="0" xfId="53" applyNumberFormat="1" applyFont="1" applyAlignment="1" applyProtection="1">
      <alignment vertical="top"/>
      <protection/>
    </xf>
    <xf numFmtId="0" fontId="26" fillId="0" borderId="0" xfId="0" applyFont="1" applyAlignment="1">
      <alignment/>
    </xf>
    <xf numFmtId="168" fontId="23" fillId="0" borderId="0" xfId="61" applyFont="1">
      <alignment vertical="top"/>
      <protection/>
    </xf>
    <xf numFmtId="0" fontId="27" fillId="0" borderId="33" xfId="58" applyFont="1" applyFill="1" applyBorder="1" applyAlignment="1">
      <alignment vertical="top" wrapText="1"/>
      <protection/>
    </xf>
    <xf numFmtId="0" fontId="0" fillId="0" borderId="15" xfId="58" applyFont="1" applyBorder="1" applyAlignment="1">
      <alignment horizontal="center" wrapText="1"/>
      <protection/>
    </xf>
    <xf numFmtId="0" fontId="0" fillId="0" borderId="16" xfId="58" applyFont="1" applyBorder="1" applyAlignment="1">
      <alignment horizontal="center" wrapText="1"/>
      <protection/>
    </xf>
    <xf numFmtId="0" fontId="0" fillId="0" borderId="17" xfId="58" applyFont="1" applyBorder="1" applyAlignment="1">
      <alignment horizontal="center" wrapText="1"/>
      <protection/>
    </xf>
    <xf numFmtId="0" fontId="2" fillId="0" borderId="16" xfId="58" applyFont="1" applyBorder="1" applyAlignment="1">
      <alignment horizontal="center" vertical="center" wrapText="1"/>
      <protection/>
    </xf>
    <xf numFmtId="7" fontId="82" fillId="0" borderId="23" xfId="0" applyNumberFormat="1" applyFont="1" applyFill="1" applyBorder="1" applyAlignment="1" applyProtection="1">
      <alignment horizontal="right"/>
      <protection locked="0"/>
    </xf>
    <xf numFmtId="7" fontId="82" fillId="0" borderId="23" xfId="0" applyNumberFormat="1" applyFont="1" applyFill="1" applyBorder="1" applyAlignment="1" applyProtection="1">
      <alignment/>
      <protection locked="0"/>
    </xf>
    <xf numFmtId="7" fontId="82" fillId="0" borderId="28" xfId="0" applyNumberFormat="1" applyFont="1" applyFill="1" applyBorder="1" applyAlignment="1" applyProtection="1">
      <alignment/>
      <protection locked="0"/>
    </xf>
    <xf numFmtId="0" fontId="11" fillId="0" borderId="0" xfId="58" applyFont="1" applyFill="1" applyAlignment="1" applyProtection="1">
      <alignment/>
      <protection locked="0"/>
    </xf>
    <xf numFmtId="0" fontId="12" fillId="0" borderId="0"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0" xfId="0" applyFont="1" applyFill="1" applyBorder="1" applyAlignment="1" applyProtection="1">
      <alignment/>
      <protection/>
    </xf>
    <xf numFmtId="0" fontId="17" fillId="0" borderId="0" xfId="0" applyFont="1" applyFill="1" applyBorder="1" applyAlignment="1" applyProtection="1">
      <alignment vertical="top"/>
      <protection/>
    </xf>
    <xf numFmtId="168" fontId="11" fillId="0" borderId="0" xfId="0" applyNumberFormat="1" applyFont="1" applyFill="1" applyBorder="1" applyAlignment="1" applyProtection="1">
      <alignment/>
      <protection/>
    </xf>
    <xf numFmtId="0" fontId="4" fillId="0" borderId="0" xfId="0" applyFont="1" applyFill="1" applyBorder="1" applyAlignment="1" applyProtection="1">
      <alignment/>
      <protection locked="0"/>
    </xf>
    <xf numFmtId="0" fontId="7" fillId="0" borderId="0" xfId="0" applyFont="1" applyFill="1" applyBorder="1" applyAlignment="1" applyProtection="1">
      <alignment/>
      <protection/>
    </xf>
    <xf numFmtId="0" fontId="7" fillId="0" borderId="0" xfId="0" applyFont="1" applyFill="1" applyBorder="1" applyAlignment="1" applyProtection="1">
      <alignment/>
      <protection locked="0"/>
    </xf>
    <xf numFmtId="0" fontId="4" fillId="0" borderId="0" xfId="0" applyFont="1" applyFill="1" applyAlignment="1" applyProtection="1">
      <alignment/>
      <protection locked="0"/>
    </xf>
    <xf numFmtId="0" fontId="87" fillId="0" borderId="0" xfId="53" applyFont="1" applyAlignment="1" applyProtection="1">
      <alignment/>
      <protection/>
    </xf>
    <xf numFmtId="7" fontId="82" fillId="0" borderId="22" xfId="0" applyNumberFormat="1" applyFont="1" applyFill="1" applyBorder="1" applyAlignment="1" applyProtection="1">
      <alignment/>
      <protection locked="0"/>
    </xf>
    <xf numFmtId="0" fontId="82" fillId="0" borderId="0" xfId="0" applyFont="1" applyFill="1" applyBorder="1" applyAlignment="1" applyProtection="1">
      <alignment/>
      <protection locked="0"/>
    </xf>
    <xf numFmtId="164" fontId="12" fillId="0" borderId="23" xfId="0" applyNumberFormat="1" applyFont="1" applyFill="1" applyBorder="1" applyAlignment="1" applyProtection="1">
      <alignment horizontal="right"/>
      <protection/>
    </xf>
    <xf numFmtId="164" fontId="12" fillId="0" borderId="23" xfId="0" applyNumberFormat="1" applyFont="1" applyFill="1" applyBorder="1" applyAlignment="1" applyProtection="1">
      <alignment/>
      <protection/>
    </xf>
    <xf numFmtId="0" fontId="12" fillId="0" borderId="0" xfId="0" applyFont="1" applyFill="1" applyAlignment="1" applyProtection="1">
      <alignment horizontal="center" vertical="center" wrapText="1"/>
      <protection/>
    </xf>
    <xf numFmtId="0" fontId="8" fillId="0" borderId="0" xfId="0" applyFont="1" applyFill="1" applyAlignment="1">
      <alignment vertical="center"/>
    </xf>
    <xf numFmtId="0" fontId="8" fillId="0" borderId="0" xfId="0" applyFont="1" applyAlignment="1">
      <alignment vertical="center"/>
    </xf>
    <xf numFmtId="0" fontId="4" fillId="0" borderId="0" xfId="0" applyFont="1" applyAlignment="1" applyProtection="1">
      <alignment horizontal="left" wrapText="1"/>
      <protection/>
    </xf>
    <xf numFmtId="168" fontId="14" fillId="0" borderId="0" xfId="61" applyFont="1" applyAlignment="1">
      <alignment vertical="top"/>
      <protection/>
    </xf>
    <xf numFmtId="0" fontId="0" fillId="0" borderId="0" xfId="0" applyAlignment="1">
      <alignment vertical="top"/>
    </xf>
    <xf numFmtId="168" fontId="4" fillId="0" borderId="0" xfId="61" applyAlignment="1">
      <alignment vertical="top"/>
      <protection/>
    </xf>
    <xf numFmtId="0" fontId="4" fillId="0" borderId="0" xfId="0" applyFont="1" applyFill="1" applyBorder="1" applyAlignment="1" applyProtection="1">
      <alignment horizontal="left"/>
      <protection/>
    </xf>
    <xf numFmtId="0" fontId="4" fillId="0" borderId="0" xfId="0" applyFont="1" applyAlignment="1" applyProtection="1">
      <alignment vertical="top"/>
      <protection/>
    </xf>
    <xf numFmtId="0" fontId="4" fillId="0" borderId="0" xfId="0" applyFont="1" applyAlignment="1">
      <alignment horizontal="left"/>
    </xf>
    <xf numFmtId="0" fontId="82" fillId="0" borderId="0" xfId="0" applyFont="1" applyFill="1" applyAlignment="1" applyProtection="1">
      <alignment horizontal="center"/>
      <protection locked="0"/>
    </xf>
    <xf numFmtId="0" fontId="11" fillId="0" borderId="0" xfId="0" applyFont="1" applyAlignment="1" applyProtection="1">
      <alignment horizontal="right"/>
      <protection locked="0"/>
    </xf>
    <xf numFmtId="168" fontId="82" fillId="0" borderId="0" xfId="0" applyNumberFormat="1" applyFont="1" applyFill="1" applyAlignment="1" applyProtection="1">
      <alignment horizontal="right"/>
      <protection locked="0"/>
    </xf>
    <xf numFmtId="0" fontId="4" fillId="0" borderId="0" xfId="0" applyFont="1" applyFill="1" applyAlignment="1" applyProtection="1">
      <alignment horizontal="right"/>
      <protection/>
    </xf>
    <xf numFmtId="0" fontId="12" fillId="0" borderId="0" xfId="0" applyFont="1" applyFill="1" applyAlignment="1" applyProtection="1">
      <alignment horizontal="right"/>
      <protection/>
    </xf>
    <xf numFmtId="0" fontId="13" fillId="0" borderId="0" xfId="0" applyFont="1" applyAlignment="1" applyProtection="1">
      <alignment horizontal="right"/>
      <protection/>
    </xf>
    <xf numFmtId="0" fontId="13" fillId="0" borderId="0" xfId="0" applyFont="1" applyFill="1" applyAlignment="1" applyProtection="1">
      <alignment horizontal="right"/>
      <protection/>
    </xf>
    <xf numFmtId="0" fontId="13" fillId="0" borderId="0" xfId="0" applyFont="1" applyBorder="1" applyAlignment="1" applyProtection="1">
      <alignment horizontal="right"/>
      <protection/>
    </xf>
    <xf numFmtId="168" fontId="4" fillId="0" borderId="0" xfId="0" applyNumberFormat="1" applyFont="1" applyAlignment="1">
      <alignment/>
    </xf>
    <xf numFmtId="7" fontId="82" fillId="0" borderId="0" xfId="0" applyNumberFormat="1" applyFont="1" applyFill="1" applyBorder="1" applyAlignment="1" applyProtection="1">
      <alignment horizontal="center"/>
      <protection locked="0"/>
    </xf>
    <xf numFmtId="0" fontId="0" fillId="0" borderId="0" xfId="58" applyFont="1" applyAlignment="1" applyProtection="1">
      <alignment/>
      <protection/>
    </xf>
    <xf numFmtId="0" fontId="4" fillId="0" borderId="26" xfId="0" applyFont="1" applyBorder="1" applyAlignment="1" applyProtection="1">
      <alignment/>
      <protection/>
    </xf>
    <xf numFmtId="0" fontId="4" fillId="0" borderId="10" xfId="0" applyFont="1" applyBorder="1" applyAlignment="1">
      <alignment/>
    </xf>
    <xf numFmtId="0" fontId="4" fillId="0" borderId="21" xfId="0" applyFont="1" applyBorder="1" applyAlignment="1">
      <alignment/>
    </xf>
    <xf numFmtId="0" fontId="4" fillId="0" borderId="23" xfId="0" applyFont="1" applyBorder="1" applyAlignment="1">
      <alignment/>
    </xf>
    <xf numFmtId="0" fontId="12" fillId="0" borderId="23" xfId="0" applyFont="1" applyBorder="1" applyAlignment="1">
      <alignment horizontal="center"/>
    </xf>
    <xf numFmtId="0" fontId="82" fillId="0" borderId="27" xfId="0" applyFont="1" applyBorder="1" applyAlignment="1" applyProtection="1">
      <alignment horizontal="center" vertical="center"/>
      <protection locked="0"/>
    </xf>
    <xf numFmtId="0" fontId="4" fillId="0" borderId="0" xfId="0" applyFont="1" applyAlignment="1" applyProtection="1">
      <alignment vertical="center"/>
      <protection/>
    </xf>
    <xf numFmtId="0" fontId="4" fillId="0" borderId="0" xfId="0" applyFont="1" applyAlignment="1">
      <alignment vertical="center"/>
    </xf>
    <xf numFmtId="0" fontId="4" fillId="0" borderId="11" xfId="0" applyFont="1" applyBorder="1" applyAlignment="1">
      <alignment/>
    </xf>
    <xf numFmtId="0" fontId="4" fillId="0" borderId="0" xfId="58" applyFont="1" applyFill="1" applyAlignment="1" applyProtection="1">
      <alignment/>
      <protection/>
    </xf>
    <xf numFmtId="0" fontId="4" fillId="0" borderId="0" xfId="58" applyFont="1" applyAlignment="1" applyProtection="1">
      <alignment horizontal="center"/>
      <protection/>
    </xf>
    <xf numFmtId="168" fontId="4" fillId="0" borderId="0" xfId="58" applyNumberFormat="1" applyFont="1" applyAlignment="1" applyProtection="1">
      <alignment/>
      <protection/>
    </xf>
    <xf numFmtId="0" fontId="12" fillId="0" borderId="0" xfId="58" applyFont="1" applyAlignment="1" applyProtection="1">
      <alignment horizontal="right"/>
      <protection/>
    </xf>
    <xf numFmtId="7" fontId="4" fillId="0" borderId="0" xfId="58" applyNumberFormat="1" applyFont="1" applyAlignment="1" applyProtection="1">
      <alignment/>
      <protection/>
    </xf>
    <xf numFmtId="0" fontId="88" fillId="0" borderId="0" xfId="58" applyFont="1" applyFill="1" applyAlignment="1" applyProtection="1">
      <alignment wrapText="1"/>
      <protection/>
    </xf>
    <xf numFmtId="0" fontId="88" fillId="0" borderId="0" xfId="58" applyFont="1" applyFill="1" applyAlignment="1" applyProtection="1">
      <alignment horizontal="center" wrapText="1"/>
      <protection/>
    </xf>
    <xf numFmtId="0" fontId="8" fillId="0" borderId="0" xfId="58" applyFont="1" applyAlignment="1" applyProtection="1">
      <alignment/>
      <protection/>
    </xf>
    <xf numFmtId="0" fontId="8" fillId="0" borderId="0" xfId="58" applyFont="1" applyAlignment="1">
      <alignment/>
      <protection/>
    </xf>
    <xf numFmtId="0" fontId="12" fillId="0" borderId="0" xfId="58" applyFont="1" applyFill="1" applyAlignment="1" applyProtection="1">
      <alignment horizontal="center" wrapText="1"/>
      <protection/>
    </xf>
    <xf numFmtId="0" fontId="8" fillId="0" borderId="0" xfId="58" applyFont="1" applyFill="1" applyAlignment="1" applyProtection="1">
      <alignment/>
      <protection/>
    </xf>
    <xf numFmtId="0" fontId="8" fillId="0" borderId="0" xfId="58" applyFont="1" applyFill="1" applyAlignment="1">
      <alignment/>
      <protection/>
    </xf>
    <xf numFmtId="0" fontId="13" fillId="0" borderId="0" xfId="58" applyFont="1" applyAlignment="1" applyProtection="1">
      <alignment/>
      <protection/>
    </xf>
    <xf numFmtId="0" fontId="12" fillId="0" borderId="0" xfId="58" applyFont="1" applyAlignment="1" applyProtection="1">
      <alignment/>
      <protection/>
    </xf>
    <xf numFmtId="0" fontId="13" fillId="0" borderId="0" xfId="58" applyFont="1" applyAlignment="1" applyProtection="1">
      <alignment horizontal="center"/>
      <protection/>
    </xf>
    <xf numFmtId="0" fontId="82" fillId="0" borderId="0" xfId="58" applyFont="1" applyAlignment="1" applyProtection="1">
      <alignment/>
      <protection locked="0"/>
    </xf>
    <xf numFmtId="174" fontId="82" fillId="0" borderId="0" xfId="58" applyNumberFormat="1" applyFont="1" applyAlignment="1" applyProtection="1">
      <alignment/>
      <protection locked="0"/>
    </xf>
    <xf numFmtId="9" fontId="11" fillId="0" borderId="0" xfId="58" applyNumberFormat="1" applyFont="1" applyAlignment="1" applyProtection="1">
      <alignment horizontal="center"/>
      <protection locked="0"/>
    </xf>
    <xf numFmtId="174" fontId="12" fillId="0" borderId="0" xfId="58" applyNumberFormat="1" applyFont="1" applyAlignment="1" applyProtection="1">
      <alignment/>
      <protection/>
    </xf>
    <xf numFmtId="0" fontId="82" fillId="0" borderId="11" xfId="58" applyFont="1" applyBorder="1" applyAlignment="1" applyProtection="1">
      <alignment/>
      <protection locked="0"/>
    </xf>
    <xf numFmtId="174" fontId="82" fillId="0" borderId="11" xfId="58" applyNumberFormat="1" applyFont="1" applyBorder="1" applyAlignment="1" applyProtection="1">
      <alignment/>
      <protection locked="0"/>
    </xf>
    <xf numFmtId="9" fontId="11" fillId="0" borderId="11" xfId="58" applyNumberFormat="1" applyFont="1" applyBorder="1" applyAlignment="1" applyProtection="1">
      <alignment horizontal="center"/>
      <protection locked="0"/>
    </xf>
    <xf numFmtId="174" fontId="12" fillId="0" borderId="11" xfId="58" applyNumberFormat="1" applyFont="1" applyBorder="1" applyAlignment="1" applyProtection="1">
      <alignment/>
      <protection/>
    </xf>
    <xf numFmtId="174" fontId="12" fillId="0" borderId="0" xfId="58" applyNumberFormat="1" applyFont="1" applyBorder="1" applyAlignment="1" applyProtection="1">
      <alignment/>
      <protection/>
    </xf>
    <xf numFmtId="174" fontId="12" fillId="0" borderId="10" xfId="58" applyNumberFormat="1" applyFont="1" applyBorder="1" applyAlignment="1" applyProtection="1">
      <alignment/>
      <protection/>
    </xf>
    <xf numFmtId="0" fontId="12" fillId="0" borderId="11" xfId="58" applyFont="1" applyBorder="1" applyAlignment="1" applyProtection="1">
      <alignment/>
      <protection/>
    </xf>
    <xf numFmtId="0" fontId="12" fillId="0" borderId="10" xfId="58" applyFont="1" applyBorder="1" applyAlignment="1" applyProtection="1">
      <alignment horizontal="right"/>
      <protection/>
    </xf>
    <xf numFmtId="0" fontId="12" fillId="0" borderId="31" xfId="58" applyFont="1" applyBorder="1" applyAlignment="1" applyProtection="1">
      <alignment horizontal="right"/>
      <protection/>
    </xf>
    <xf numFmtId="174" fontId="12" fillId="0" borderId="34" xfId="58" applyNumberFormat="1" applyFont="1" applyBorder="1" applyAlignment="1" applyProtection="1">
      <alignment/>
      <protection/>
    </xf>
    <xf numFmtId="168" fontId="12" fillId="0" borderId="31" xfId="58" applyNumberFormat="1" applyFont="1" applyBorder="1" applyAlignment="1" applyProtection="1">
      <alignment/>
      <protection/>
    </xf>
    <xf numFmtId="0" fontId="12" fillId="0" borderId="34" xfId="58" applyFont="1" applyBorder="1" applyAlignment="1" applyProtection="1">
      <alignment/>
      <protection/>
    </xf>
    <xf numFmtId="0" fontId="88" fillId="33" borderId="0" xfId="58" applyFont="1" applyFill="1" applyAlignment="1" applyProtection="1">
      <alignment horizontal="center" wrapText="1"/>
      <protection/>
    </xf>
    <xf numFmtId="168" fontId="82" fillId="0" borderId="30" xfId="0" applyNumberFormat="1" applyFont="1" applyFill="1" applyBorder="1" applyAlignment="1" applyProtection="1">
      <alignment/>
      <protection locked="0"/>
    </xf>
    <xf numFmtId="0" fontId="0" fillId="0" borderId="0" xfId="0" applyFont="1" applyFill="1" applyAlignment="1" applyProtection="1">
      <alignment/>
      <protection/>
    </xf>
    <xf numFmtId="7" fontId="12" fillId="0" borderId="0" xfId="0" applyNumberFormat="1" applyFont="1" applyFill="1" applyBorder="1" applyAlignment="1" applyProtection="1">
      <alignment horizontal="center"/>
      <protection/>
    </xf>
    <xf numFmtId="0" fontId="11" fillId="0" borderId="0" xfId="0" applyFont="1" applyAlignment="1" applyProtection="1">
      <alignment horizontal="right"/>
      <protection/>
    </xf>
    <xf numFmtId="7" fontId="82" fillId="0" borderId="0" xfId="0" applyNumberFormat="1" applyFont="1" applyFill="1" applyBorder="1" applyAlignment="1" applyProtection="1">
      <alignment horizontal="center"/>
      <protection/>
    </xf>
    <xf numFmtId="0" fontId="12" fillId="0" borderId="24" xfId="0" applyFont="1" applyBorder="1" applyAlignment="1">
      <alignment/>
    </xf>
    <xf numFmtId="0" fontId="13" fillId="0" borderId="22" xfId="0" applyFont="1" applyBorder="1" applyAlignment="1" applyProtection="1">
      <alignment vertical="center"/>
      <protection/>
    </xf>
    <xf numFmtId="0" fontId="4" fillId="0" borderId="0" xfId="0" applyFont="1" applyBorder="1" applyAlignment="1">
      <alignment vertical="center"/>
    </xf>
    <xf numFmtId="0" fontId="12" fillId="0" borderId="23" xfId="0" applyFont="1" applyBorder="1" applyAlignment="1">
      <alignment horizontal="center" vertical="center"/>
    </xf>
    <xf numFmtId="0" fontId="82" fillId="0" borderId="27" xfId="0" applyFont="1" applyFill="1" applyBorder="1" applyAlignment="1" applyProtection="1">
      <alignment horizontal="center" vertical="center"/>
      <protection locked="0"/>
    </xf>
    <xf numFmtId="2" fontId="4" fillId="0" borderId="0" xfId="0" applyNumberFormat="1" applyFont="1" applyBorder="1" applyAlignment="1">
      <alignment horizontal="center"/>
    </xf>
    <xf numFmtId="0" fontId="4" fillId="0" borderId="0" xfId="0" applyFont="1" applyBorder="1" applyAlignment="1">
      <alignment horizontal="center"/>
    </xf>
    <xf numFmtId="0" fontId="0" fillId="0" borderId="0" xfId="0" applyFont="1" applyBorder="1" applyAlignment="1" applyProtection="1">
      <alignment/>
      <protection/>
    </xf>
    <xf numFmtId="0" fontId="4" fillId="0" borderId="0" xfId="0" applyFont="1" applyFill="1" applyBorder="1" applyAlignment="1">
      <alignment horizontal="center"/>
    </xf>
    <xf numFmtId="0" fontId="12" fillId="0" borderId="27" xfId="0" applyFont="1" applyBorder="1" applyAlignment="1">
      <alignment horizontal="center" vertical="center"/>
    </xf>
    <xf numFmtId="0" fontId="12" fillId="0" borderId="26" xfId="0" applyFont="1" applyBorder="1" applyAlignment="1">
      <alignment/>
    </xf>
    <xf numFmtId="0" fontId="4" fillId="0" borderId="10" xfId="0" applyFont="1" applyBorder="1" applyAlignment="1" applyProtection="1">
      <alignment/>
      <protection/>
    </xf>
    <xf numFmtId="0" fontId="12" fillId="0" borderId="22" xfId="0" applyFont="1" applyBorder="1" applyAlignment="1">
      <alignment/>
    </xf>
    <xf numFmtId="0" fontId="0" fillId="0" borderId="11" xfId="0" applyFont="1" applyBorder="1" applyAlignment="1" applyProtection="1">
      <alignment/>
      <protection/>
    </xf>
    <xf numFmtId="2" fontId="4" fillId="0" borderId="11" xfId="0" applyNumberFormat="1" applyFont="1" applyBorder="1" applyAlignment="1">
      <alignment horizontal="center"/>
    </xf>
    <xf numFmtId="0" fontId="4" fillId="0" borderId="11" xfId="0" applyFont="1" applyBorder="1" applyAlignment="1">
      <alignment horizontal="center"/>
    </xf>
    <xf numFmtId="0" fontId="0" fillId="0" borderId="10" xfId="0" applyFont="1" applyBorder="1" applyAlignment="1" applyProtection="1">
      <alignment/>
      <protection/>
    </xf>
    <xf numFmtId="2" fontId="4" fillId="0" borderId="23" xfId="0" applyNumberFormat="1" applyFont="1" applyFill="1" applyBorder="1" applyAlignment="1">
      <alignment horizontal="center"/>
    </xf>
    <xf numFmtId="7" fontId="82" fillId="0" borderId="0" xfId="0" applyNumberFormat="1" applyFont="1" applyFill="1" applyBorder="1" applyAlignment="1" applyProtection="1">
      <alignment horizontal="right"/>
      <protection locked="0"/>
    </xf>
    <xf numFmtId="7" fontId="11" fillId="0" borderId="0" xfId="0" applyNumberFormat="1" applyFont="1" applyFill="1" applyAlignment="1" applyProtection="1">
      <alignment horizontal="center"/>
      <protection/>
    </xf>
    <xf numFmtId="7" fontId="4" fillId="0" borderId="22" xfId="0" applyNumberFormat="1" applyFont="1" applyFill="1" applyBorder="1" applyAlignment="1" applyProtection="1">
      <alignment horizontal="center"/>
      <protection/>
    </xf>
    <xf numFmtId="0" fontId="29" fillId="0" borderId="0" xfId="0" applyFont="1" applyAlignment="1" applyProtection="1">
      <alignment horizontal="right"/>
      <protection/>
    </xf>
    <xf numFmtId="0" fontId="29" fillId="0" borderId="0" xfId="0" applyFont="1" applyBorder="1" applyAlignment="1" applyProtection="1">
      <alignment horizontal="right"/>
      <protection/>
    </xf>
    <xf numFmtId="2" fontId="4" fillId="0" borderId="10" xfId="0" applyNumberFormat="1" applyFont="1" applyBorder="1" applyAlignment="1" applyProtection="1">
      <alignment horizontal="center"/>
      <protection/>
    </xf>
    <xf numFmtId="0" fontId="82" fillId="0" borderId="10" xfId="0" applyFont="1" applyFill="1" applyBorder="1" applyAlignment="1" applyProtection="1">
      <alignment horizontal="center"/>
      <protection/>
    </xf>
    <xf numFmtId="0" fontId="4" fillId="0" borderId="10" xfId="0" applyFont="1" applyBorder="1" applyAlignment="1" applyProtection="1">
      <alignment horizontal="center"/>
      <protection/>
    </xf>
    <xf numFmtId="2" fontId="4" fillId="0" borderId="21" xfId="0" applyNumberFormat="1" applyFont="1" applyBorder="1" applyAlignment="1" applyProtection="1">
      <alignment horizontal="center"/>
      <protection/>
    </xf>
    <xf numFmtId="0" fontId="82" fillId="0" borderId="0" xfId="0" applyNumberFormat="1" applyFont="1" applyFill="1" applyBorder="1" applyAlignment="1" applyProtection="1">
      <alignment horizontal="center"/>
      <protection locked="0"/>
    </xf>
    <xf numFmtId="0" fontId="82" fillId="0" borderId="11" xfId="0" applyNumberFormat="1" applyFont="1" applyFill="1" applyBorder="1" applyAlignment="1" applyProtection="1">
      <alignment horizontal="center"/>
      <protection locked="0"/>
    </xf>
    <xf numFmtId="2" fontId="4" fillId="0" borderId="25" xfId="0" applyNumberFormat="1" applyFont="1" applyFill="1" applyBorder="1" applyAlignment="1">
      <alignment horizontal="center"/>
    </xf>
    <xf numFmtId="2" fontId="4" fillId="0" borderId="21" xfId="0" applyNumberFormat="1" applyFont="1" applyFill="1" applyBorder="1" applyAlignment="1" applyProtection="1">
      <alignment horizontal="center"/>
      <protection/>
    </xf>
    <xf numFmtId="0" fontId="11" fillId="0" borderId="0" xfId="0" applyFont="1" applyFill="1" applyAlignment="1" applyProtection="1">
      <alignment horizontal="right"/>
      <protection locked="0"/>
    </xf>
    <xf numFmtId="168" fontId="4" fillId="0" borderId="0" xfId="0" applyNumberFormat="1" applyFont="1" applyFill="1" applyAlignment="1">
      <alignment/>
    </xf>
    <xf numFmtId="0" fontId="11" fillId="0" borderId="0" xfId="0" applyFont="1" applyFill="1" applyAlignment="1" applyProtection="1">
      <alignment horizontal="right"/>
      <protection/>
    </xf>
    <xf numFmtId="5" fontId="11" fillId="0" borderId="0" xfId="58" applyNumberFormat="1" applyFont="1" applyFill="1" applyAlignment="1" applyProtection="1">
      <alignment/>
      <protection locked="0"/>
    </xf>
    <xf numFmtId="7" fontId="12" fillId="0" borderId="0" xfId="58" applyNumberFormat="1" applyFont="1" applyFill="1" applyAlignment="1" applyProtection="1">
      <alignment/>
      <protection/>
    </xf>
    <xf numFmtId="3" fontId="82" fillId="0" borderId="0" xfId="58" applyNumberFormat="1" applyFont="1" applyFill="1" applyAlignment="1" applyProtection="1">
      <alignment horizontal="right"/>
      <protection locked="0"/>
    </xf>
    <xf numFmtId="168" fontId="12" fillId="0" borderId="0" xfId="58" applyNumberFormat="1" applyFont="1" applyFill="1" applyAlignment="1">
      <alignment/>
      <protection/>
    </xf>
    <xf numFmtId="166" fontId="11" fillId="0" borderId="0" xfId="0" applyNumberFormat="1" applyFont="1" applyFill="1" applyAlignment="1" applyProtection="1">
      <alignment/>
      <protection locked="0"/>
    </xf>
    <xf numFmtId="0" fontId="14" fillId="0" borderId="0" xfId="58" applyFont="1" applyFill="1" applyAlignment="1" applyProtection="1">
      <alignment horizontal="right"/>
      <protection/>
    </xf>
    <xf numFmtId="168" fontId="13" fillId="0" borderId="0" xfId="58" applyNumberFormat="1" applyFont="1" applyFill="1" applyAlignment="1">
      <alignment/>
      <protection/>
    </xf>
    <xf numFmtId="9" fontId="11" fillId="0" borderId="0" xfId="0" applyNumberFormat="1" applyFont="1" applyFill="1" applyAlignment="1" applyProtection="1">
      <alignment horizontal="right"/>
      <protection locked="0"/>
    </xf>
    <xf numFmtId="0" fontId="12" fillId="0" borderId="0" xfId="58" applyFont="1" applyFill="1" applyAlignment="1" applyProtection="1">
      <alignment horizontal="right"/>
      <protection/>
    </xf>
    <xf numFmtId="0" fontId="11" fillId="0" borderId="0" xfId="58" applyFont="1" applyFill="1" applyAlignment="1" applyProtection="1">
      <alignment/>
      <protection/>
    </xf>
    <xf numFmtId="164" fontId="8" fillId="0" borderId="0" xfId="0" applyNumberFormat="1" applyFont="1" applyFill="1" applyAlignment="1">
      <alignment/>
    </xf>
    <xf numFmtId="0" fontId="4" fillId="0" borderId="0" xfId="0" applyFont="1" applyFill="1" applyBorder="1" applyAlignment="1">
      <alignment/>
    </xf>
    <xf numFmtId="0" fontId="8" fillId="0" borderId="0" xfId="0" applyFont="1" applyFill="1" applyBorder="1" applyAlignment="1">
      <alignment/>
    </xf>
    <xf numFmtId="7" fontId="4" fillId="0" borderId="0" xfId="0" applyNumberFormat="1" applyFont="1" applyFill="1" applyBorder="1" applyAlignment="1" applyProtection="1">
      <alignment horizontal="center"/>
      <protection/>
    </xf>
    <xf numFmtId="0" fontId="4" fillId="0" borderId="26" xfId="0" applyFont="1" applyFill="1" applyBorder="1" applyAlignment="1" applyProtection="1">
      <alignment/>
      <protection/>
    </xf>
    <xf numFmtId="0" fontId="0" fillId="0" borderId="10" xfId="0" applyFont="1" applyFill="1" applyBorder="1" applyAlignment="1" applyProtection="1">
      <alignment/>
      <protection/>
    </xf>
    <xf numFmtId="0" fontId="4" fillId="0" borderId="21" xfId="0" applyFont="1" applyFill="1" applyBorder="1" applyAlignment="1" applyProtection="1">
      <alignment/>
      <protection/>
    </xf>
    <xf numFmtId="7" fontId="12" fillId="0" borderId="23" xfId="0" applyNumberFormat="1" applyFont="1" applyFill="1" applyBorder="1" applyAlignment="1" applyProtection="1">
      <alignment horizontal="center"/>
      <protection/>
    </xf>
    <xf numFmtId="7" fontId="12" fillId="0" borderId="22" xfId="0" applyNumberFormat="1" applyFont="1" applyFill="1" applyBorder="1" applyAlignment="1" applyProtection="1">
      <alignment horizontal="center"/>
      <protection/>
    </xf>
    <xf numFmtId="7" fontId="4" fillId="0" borderId="23" xfId="0" applyNumberFormat="1" applyFont="1" applyFill="1" applyBorder="1" applyAlignment="1" applyProtection="1">
      <alignment horizontal="center"/>
      <protection/>
    </xf>
    <xf numFmtId="0" fontId="4" fillId="0" borderId="24" xfId="0" applyFont="1" applyFill="1" applyBorder="1" applyAlignment="1" applyProtection="1">
      <alignment/>
      <protection/>
    </xf>
    <xf numFmtId="0" fontId="4" fillId="0" borderId="11" xfId="0" applyFont="1" applyFill="1" applyBorder="1" applyAlignment="1" applyProtection="1">
      <alignment/>
      <protection/>
    </xf>
    <xf numFmtId="0" fontId="4" fillId="0" borderId="25" xfId="0" applyFont="1" applyFill="1" applyBorder="1" applyAlignment="1" applyProtection="1">
      <alignment/>
      <protection/>
    </xf>
    <xf numFmtId="0" fontId="4" fillId="0" borderId="10" xfId="0" applyFont="1" applyFill="1" applyBorder="1" applyAlignment="1" applyProtection="1">
      <alignment/>
      <protection/>
    </xf>
    <xf numFmtId="7" fontId="12" fillId="0" borderId="11" xfId="0" applyNumberFormat="1" applyFont="1" applyFill="1" applyBorder="1" applyAlignment="1" applyProtection="1">
      <alignment/>
      <protection/>
    </xf>
    <xf numFmtId="0" fontId="4" fillId="0" borderId="27" xfId="0" applyFont="1" applyFill="1" applyBorder="1" applyAlignment="1" applyProtection="1">
      <alignment/>
      <protection/>
    </xf>
    <xf numFmtId="7" fontId="4" fillId="0" borderId="28" xfId="0" applyNumberFormat="1" applyFont="1" applyFill="1" applyBorder="1" applyAlignment="1" applyProtection="1">
      <alignment horizontal="right"/>
      <protection/>
    </xf>
    <xf numFmtId="0" fontId="4" fillId="0" borderId="29" xfId="0" applyFont="1" applyFill="1" applyBorder="1" applyAlignment="1" applyProtection="1">
      <alignment/>
      <protection/>
    </xf>
    <xf numFmtId="7" fontId="12" fillId="0" borderId="25" xfId="0" applyNumberFormat="1" applyFont="1" applyFill="1" applyBorder="1" applyAlignment="1" applyProtection="1">
      <alignment/>
      <protection/>
    </xf>
    <xf numFmtId="0" fontId="4" fillId="0" borderId="10" xfId="0" applyFont="1" applyFill="1" applyBorder="1" applyAlignment="1" applyProtection="1">
      <alignment horizontal="center"/>
      <protection/>
    </xf>
    <xf numFmtId="168" fontId="12" fillId="0" borderId="0" xfId="61" applyFont="1" applyFill="1" applyBorder="1">
      <alignment vertical="top"/>
      <protection/>
    </xf>
    <xf numFmtId="168" fontId="12" fillId="0" borderId="35" xfId="0" applyNumberFormat="1" applyFont="1" applyFill="1" applyBorder="1" applyAlignment="1" applyProtection="1">
      <alignment/>
      <protection/>
    </xf>
    <xf numFmtId="0" fontId="2" fillId="0" borderId="19" xfId="58" applyFont="1" applyBorder="1" applyAlignment="1">
      <alignment horizontal="center" vertical="center" wrapText="1"/>
      <protection/>
    </xf>
    <xf numFmtId="0" fontId="2" fillId="0" borderId="19" xfId="58" applyFont="1" applyFill="1" applyBorder="1" applyAlignment="1">
      <alignment horizontal="center" vertical="center" wrapText="1"/>
      <protection/>
    </xf>
    <xf numFmtId="0" fontId="2" fillId="0" borderId="16" xfId="58" applyFont="1" applyFill="1" applyBorder="1" applyAlignment="1">
      <alignment vertical="center" wrapText="1"/>
      <protection/>
    </xf>
    <xf numFmtId="0" fontId="2" fillId="0" borderId="33" xfId="58" applyFont="1" applyFill="1" applyBorder="1" applyAlignment="1">
      <alignment horizontal="center" vertical="center" wrapText="1"/>
      <protection/>
    </xf>
    <xf numFmtId="0" fontId="0" fillId="0" borderId="33" xfId="58" applyFont="1" applyFill="1" applyBorder="1" applyAlignment="1">
      <alignment horizontal="center" vertical="center" wrapText="1"/>
      <protection/>
    </xf>
    <xf numFmtId="0" fontId="86" fillId="0" borderId="0" xfId="0" applyFont="1" applyBorder="1" applyAlignment="1" applyProtection="1">
      <alignment horizontal="right"/>
      <protection/>
    </xf>
    <xf numFmtId="0" fontId="0" fillId="0" borderId="11" xfId="0" applyBorder="1" applyAlignment="1">
      <alignment/>
    </xf>
    <xf numFmtId="0" fontId="85" fillId="0" borderId="11" xfId="0" applyFont="1" applyFill="1" applyBorder="1" applyAlignment="1" applyProtection="1">
      <alignment horizontal="right"/>
      <protection/>
    </xf>
    <xf numFmtId="167" fontId="0" fillId="0" borderId="0" xfId="0" applyNumberFormat="1" applyAlignment="1">
      <alignment/>
    </xf>
    <xf numFmtId="168" fontId="0" fillId="0" borderId="0" xfId="0" applyNumberFormat="1" applyAlignment="1">
      <alignment/>
    </xf>
    <xf numFmtId="0" fontId="85" fillId="0" borderId="10" xfId="0" applyFont="1" applyBorder="1" applyAlignment="1" applyProtection="1">
      <alignment horizontal="left" vertical="center"/>
      <protection/>
    </xf>
    <xf numFmtId="0" fontId="86" fillId="0" borderId="10" xfId="0" applyFont="1" applyBorder="1" applyAlignment="1" applyProtection="1">
      <alignment/>
      <protection/>
    </xf>
    <xf numFmtId="0" fontId="0" fillId="0" borderId="10" xfId="0" applyBorder="1" applyAlignment="1" applyProtection="1">
      <alignment/>
      <protection/>
    </xf>
    <xf numFmtId="0" fontId="89" fillId="0" borderId="0" xfId="0" applyFont="1" applyBorder="1" applyAlignment="1">
      <alignment horizontal="left" vertical="top"/>
    </xf>
    <xf numFmtId="168" fontId="4" fillId="0" borderId="11" xfId="61" applyBorder="1">
      <alignment vertical="top"/>
      <protection/>
    </xf>
    <xf numFmtId="168" fontId="8" fillId="0" borderId="0" xfId="61" applyFont="1" applyAlignment="1">
      <alignment horizontal="left" vertical="top" wrapText="1"/>
      <protection/>
    </xf>
    <xf numFmtId="168" fontId="23" fillId="0" borderId="0" xfId="61" applyFont="1" applyAlignment="1">
      <alignment horizontal="left" vertical="top" wrapText="1"/>
      <protection/>
    </xf>
    <xf numFmtId="168" fontId="9" fillId="0" borderId="0" xfId="61" applyFont="1" applyAlignment="1">
      <alignment horizontal="left" vertical="top" wrapText="1"/>
      <protection/>
    </xf>
    <xf numFmtId="168" fontId="22" fillId="0" borderId="0" xfId="61" applyFont="1" applyAlignment="1">
      <alignment horizontal="center"/>
      <protection/>
    </xf>
    <xf numFmtId="168" fontId="21" fillId="0" borderId="0" xfId="61" applyFont="1" applyAlignment="1">
      <alignment horizontal="center" vertical="center"/>
      <protection/>
    </xf>
    <xf numFmtId="168" fontId="4" fillId="0" borderId="0" xfId="61" applyFont="1" applyAlignment="1">
      <alignment horizontal="left" vertical="top" wrapText="1"/>
      <protection/>
    </xf>
    <xf numFmtId="0" fontId="12" fillId="0" borderId="26"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2" fillId="0" borderId="21" xfId="0" applyFont="1" applyFill="1" applyBorder="1" applyAlignment="1" applyProtection="1">
      <alignment horizontal="center" vertical="center" wrapText="1"/>
      <protection/>
    </xf>
    <xf numFmtId="0" fontId="12" fillId="0" borderId="24" xfId="0" applyFont="1" applyFill="1" applyBorder="1" applyAlignment="1" applyProtection="1">
      <alignment horizontal="center" vertical="center" wrapText="1"/>
      <protection/>
    </xf>
    <xf numFmtId="0" fontId="12" fillId="0" borderId="11" xfId="0" applyFont="1" applyFill="1" applyBorder="1" applyAlignment="1" applyProtection="1">
      <alignment horizontal="center" vertical="center" wrapText="1"/>
      <protection/>
    </xf>
    <xf numFmtId="0" fontId="12" fillId="0" borderId="25" xfId="0" applyFont="1" applyFill="1" applyBorder="1" applyAlignment="1" applyProtection="1">
      <alignment horizontal="center" vertical="center" wrapText="1"/>
      <protection/>
    </xf>
    <xf numFmtId="0" fontId="12" fillId="0" borderId="26" xfId="0" applyFont="1" applyBorder="1" applyAlignment="1">
      <alignment horizontal="center" vertical="center"/>
    </xf>
    <xf numFmtId="0" fontId="12" fillId="0" borderId="21" xfId="0" applyFont="1" applyBorder="1" applyAlignment="1">
      <alignment horizontal="center" vertical="center"/>
    </xf>
    <xf numFmtId="0" fontId="12" fillId="0" borderId="26" xfId="0" applyFont="1" applyFill="1" applyBorder="1" applyAlignment="1" applyProtection="1">
      <alignment horizontal="center" vertical="center"/>
      <protection/>
    </xf>
    <xf numFmtId="0" fontId="12" fillId="0" borderId="21" xfId="0" applyFont="1" applyFill="1" applyBorder="1" applyAlignment="1" applyProtection="1">
      <alignment horizontal="center" vertical="center"/>
      <protection/>
    </xf>
    <xf numFmtId="0" fontId="12" fillId="0" borderId="24" xfId="0" applyFont="1" applyFill="1" applyBorder="1" applyAlignment="1" applyProtection="1">
      <alignment horizontal="center" vertical="center"/>
      <protection/>
    </xf>
    <xf numFmtId="0" fontId="12" fillId="0" borderId="25" xfId="0" applyFont="1" applyFill="1" applyBorder="1" applyAlignment="1" applyProtection="1">
      <alignment horizontal="center" vertical="center"/>
      <protection/>
    </xf>
    <xf numFmtId="0" fontId="88" fillId="33" borderId="0" xfId="0" applyFont="1" applyFill="1" applyAlignment="1" applyProtection="1">
      <alignment horizontal="center" wrapText="1"/>
      <protection/>
    </xf>
    <xf numFmtId="0" fontId="88" fillId="33" borderId="0" xfId="0" applyFont="1" applyFill="1" applyAlignment="1" applyProtection="1">
      <alignment horizontal="center"/>
      <protection/>
    </xf>
    <xf numFmtId="0" fontId="12" fillId="0" borderId="27" xfId="0" applyFont="1" applyFill="1" applyBorder="1" applyAlignment="1" applyProtection="1">
      <alignment horizontal="center" vertical="center" wrapText="1"/>
      <protection/>
    </xf>
    <xf numFmtId="0" fontId="12" fillId="0" borderId="29" xfId="0" applyFont="1" applyFill="1" applyBorder="1" applyAlignment="1" applyProtection="1">
      <alignment horizontal="center" vertical="center" wrapText="1"/>
      <protection/>
    </xf>
    <xf numFmtId="0" fontId="90" fillId="33" borderId="0" xfId="0" applyFont="1" applyFill="1" applyAlignment="1" applyProtection="1">
      <alignment horizontal="center"/>
      <protection/>
    </xf>
    <xf numFmtId="0" fontId="90" fillId="33" borderId="36" xfId="58" applyFont="1" applyFill="1" applyBorder="1" applyAlignment="1">
      <alignment horizontal="center" vertical="center" wrapText="1"/>
      <protection/>
    </xf>
    <xf numFmtId="0" fontId="90" fillId="33" borderId="37" xfId="58" applyFont="1" applyFill="1" applyBorder="1" applyAlignment="1">
      <alignment horizontal="center" vertical="center" wrapText="1"/>
      <protection/>
    </xf>
    <xf numFmtId="0" fontId="90" fillId="33" borderId="38" xfId="58" applyFont="1" applyFill="1" applyBorder="1" applyAlignment="1">
      <alignment horizontal="center" vertical="center" wrapText="1"/>
      <protection/>
    </xf>
    <xf numFmtId="0" fontId="12" fillId="0" borderId="0" xfId="0" applyFont="1" applyAlignment="1" applyProtection="1">
      <alignment horizontal="center"/>
      <protection/>
    </xf>
    <xf numFmtId="0" fontId="0" fillId="0" borderId="0" xfId="0" applyFont="1" applyAlignment="1" applyProtection="1">
      <alignment horizontal="left" vertical="top" wrapText="1"/>
      <protection/>
    </xf>
    <xf numFmtId="0" fontId="12" fillId="0" borderId="11" xfId="0" applyFont="1" applyBorder="1" applyAlignment="1" applyProtection="1">
      <alignment horizontal="center"/>
      <protection/>
    </xf>
    <xf numFmtId="0" fontId="91" fillId="33" borderId="0" xfId="0" applyFont="1" applyFill="1" applyAlignment="1">
      <alignment horizontal="center"/>
    </xf>
    <xf numFmtId="0" fontId="90" fillId="33" borderId="0" xfId="0" applyFont="1" applyFill="1" applyAlignment="1" applyProtection="1">
      <alignment horizontal="center" vertical="center"/>
      <protection/>
    </xf>
    <xf numFmtId="0" fontId="12" fillId="0" borderId="39" xfId="0" applyFont="1" applyBorder="1" applyAlignment="1" applyProtection="1">
      <alignment horizontal="center"/>
      <protection/>
    </xf>
    <xf numFmtId="0" fontId="12" fillId="0" borderId="37" xfId="0" applyFont="1" applyBorder="1" applyAlignment="1" applyProtection="1">
      <alignment horizontal="center"/>
      <protection/>
    </xf>
    <xf numFmtId="0" fontId="12" fillId="0" borderId="40" xfId="0" applyFont="1" applyBorder="1" applyAlignment="1">
      <alignment horizontal="center"/>
    </xf>
    <xf numFmtId="0" fontId="12" fillId="0" borderId="34" xfId="0" applyFont="1" applyBorder="1" applyAlignment="1">
      <alignment horizontal="center"/>
    </xf>
    <xf numFmtId="0" fontId="12" fillId="0" borderId="31" xfId="0" applyFont="1" applyBorder="1" applyAlignment="1">
      <alignment horizontal="center"/>
    </xf>
    <xf numFmtId="0" fontId="4" fillId="0" borderId="27" xfId="0" applyFont="1" applyBorder="1" applyAlignment="1">
      <alignment horizontal="center" wrapText="1"/>
    </xf>
    <xf numFmtId="0" fontId="4" fillId="0" borderId="29" xfId="0" applyFont="1" applyBorder="1" applyAlignment="1">
      <alignment horizontal="center" wrapText="1"/>
    </xf>
    <xf numFmtId="0" fontId="4" fillId="0" borderId="21" xfId="0" applyFont="1" applyBorder="1" applyAlignment="1">
      <alignment horizontal="center" wrapText="1"/>
    </xf>
    <xf numFmtId="0" fontId="4" fillId="0" borderId="25" xfId="0" applyFont="1" applyBorder="1" applyAlignment="1">
      <alignment horizontal="center" wrapText="1"/>
    </xf>
    <xf numFmtId="0" fontId="90" fillId="33" borderId="0" xfId="58" applyFont="1" applyFill="1" applyAlignment="1" applyProtection="1">
      <alignment horizontal="center" vertical="center"/>
      <protection/>
    </xf>
    <xf numFmtId="0" fontId="88" fillId="33" borderId="0" xfId="58" applyFont="1" applyFill="1" applyAlignment="1" applyProtection="1">
      <alignment horizontal="center" vertical="center" wrapText="1"/>
      <protection/>
    </xf>
    <xf numFmtId="0" fontId="2" fillId="0" borderId="14" xfId="58" applyFont="1" applyFill="1" applyBorder="1" applyAlignment="1">
      <alignment horizontal="center" vertical="center" wrapText="1"/>
      <protection/>
    </xf>
    <xf numFmtId="0" fontId="2" fillId="0" borderId="20"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20" xfId="58" applyFont="1" applyFill="1" applyBorder="1" applyAlignment="1">
      <alignment horizontal="center" vertical="center" wrapText="1"/>
      <protection/>
    </xf>
    <xf numFmtId="0" fontId="0" fillId="0" borderId="41" xfId="58" applyFont="1" applyBorder="1" applyAlignment="1">
      <alignment vertical="top" wrapText="1"/>
      <protection/>
    </xf>
    <xf numFmtId="0" fontId="0" fillId="0" borderId="0" xfId="58" applyFont="1" applyAlignment="1">
      <alignment vertical="top" wrapText="1"/>
      <protection/>
    </xf>
    <xf numFmtId="0" fontId="88" fillId="33" borderId="0" xfId="58" applyFont="1" applyFill="1" applyAlignment="1">
      <alignment horizontal="center" vertical="center" wrapText="1" readingOrder="1"/>
      <protection/>
    </xf>
    <xf numFmtId="0" fontId="92" fillId="33" borderId="0" xfId="58" applyFont="1" applyFill="1" applyAlignment="1">
      <alignment horizontal="center" vertical="center" wrapText="1" readingOrder="1"/>
      <protection/>
    </xf>
    <xf numFmtId="168" fontId="93" fillId="33" borderId="0" xfId="61" applyFont="1" applyFill="1" applyAlignment="1">
      <alignment horizontal="center" vertical="center"/>
      <protection/>
    </xf>
    <xf numFmtId="168" fontId="12" fillId="0" borderId="0" xfId="61" applyFont="1" applyAlignment="1">
      <alignment horizontal="left"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4" xfId="60"/>
    <cellStyle name="Normal_Farrow-Wean 500"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gov.mb.ca/agriculture/business-and-economics/financial-management/machinery-costs.html" TargetMode="External" /><Relationship Id="rId3" Type="http://schemas.openxmlformats.org/officeDocument/2006/relationships/hyperlink" Target="http://www.gov.mb.ca/agriculture/business-and-economics/financial-management/cost-of-production.html" TargetMode="External" /><Relationship Id="rId4" Type="http://schemas.openxmlformats.org/officeDocument/2006/relationships/hyperlink" Target="http://www.gov.mb.ca/agriculture/contact/index.html"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gov.mb.ca/agriculture/business-and-economics/farm-business-management-contacts.html" TargetMode="External" /><Relationship Id="rId2" Type="http://schemas.openxmlformats.org/officeDocument/2006/relationships/hyperlink" Target="http://www.gov.mb.ca/agriculture/contact/index.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0</xdr:row>
      <xdr:rowOff>152400</xdr:rowOff>
    </xdr:from>
    <xdr:to>
      <xdr:col>9</xdr:col>
      <xdr:colOff>400050</xdr:colOff>
      <xdr:row>2</xdr:row>
      <xdr:rowOff>95250</xdr:rowOff>
    </xdr:to>
    <xdr:pic>
      <xdr:nvPicPr>
        <xdr:cNvPr id="1" name="Picture 2" descr="GovMB_Logo_blk10.jpg"/>
        <xdr:cNvPicPr preferRelativeResize="1">
          <a:picLocks noChangeAspect="1"/>
        </xdr:cNvPicPr>
      </xdr:nvPicPr>
      <xdr:blipFill>
        <a:blip r:embed="rId1"/>
        <a:stretch>
          <a:fillRect/>
        </a:stretch>
      </xdr:blipFill>
      <xdr:spPr>
        <a:xfrm>
          <a:off x="5410200" y="152400"/>
          <a:ext cx="1676400" cy="323850"/>
        </a:xfrm>
        <a:prstGeom prst="rect">
          <a:avLst/>
        </a:prstGeom>
        <a:noFill/>
        <a:ln w="9525" cmpd="sng">
          <a:noFill/>
        </a:ln>
      </xdr:spPr>
    </xdr:pic>
    <xdr:clientData/>
  </xdr:twoCellAnchor>
  <xdr:twoCellAnchor>
    <xdr:from>
      <xdr:col>4</xdr:col>
      <xdr:colOff>523875</xdr:colOff>
      <xdr:row>34</xdr:row>
      <xdr:rowOff>190500</xdr:rowOff>
    </xdr:from>
    <xdr:to>
      <xdr:col>10</xdr:col>
      <xdr:colOff>323850</xdr:colOff>
      <xdr:row>36</xdr:row>
      <xdr:rowOff>0</xdr:rowOff>
    </xdr:to>
    <xdr:sp>
      <xdr:nvSpPr>
        <xdr:cNvPr id="2" name="TextBox 2">
          <a:hlinkClick r:id="rId2"/>
        </xdr:cNvPr>
        <xdr:cNvSpPr txBox="1">
          <a:spLocks noChangeArrowheads="1"/>
        </xdr:cNvSpPr>
      </xdr:nvSpPr>
      <xdr:spPr>
        <a:xfrm>
          <a:off x="3400425" y="7629525"/>
          <a:ext cx="4371975" cy="266700"/>
        </a:xfrm>
        <a:prstGeom prst="rect">
          <a:avLst/>
        </a:prstGeom>
        <a:noFill/>
        <a:ln w="9525" cmpd="sng">
          <a:noFill/>
        </a:ln>
      </xdr:spPr>
      <xdr:txBody>
        <a:bodyPr vertOverflow="clip" wrap="square"/>
        <a:p>
          <a:pPr algn="l">
            <a:defRPr/>
          </a:pPr>
          <a:r>
            <a:rPr lang="en-US" cap="none" sz="1400" b="0" i="1" u="sng" baseline="0">
              <a:solidFill>
                <a:srgbClr val="0000FF"/>
              </a:solidFill>
              <a:latin typeface="Arial"/>
              <a:ea typeface="Arial"/>
              <a:cs typeface="Arial"/>
            </a:rPr>
            <a:t>The Farm Machinery Custom and Rental Rate Guide</a:t>
          </a:r>
        </a:p>
      </xdr:txBody>
    </xdr:sp>
    <xdr:clientData/>
  </xdr:twoCellAnchor>
  <xdr:twoCellAnchor>
    <xdr:from>
      <xdr:col>5</xdr:col>
      <xdr:colOff>447675</xdr:colOff>
      <xdr:row>33</xdr:row>
      <xdr:rowOff>200025</xdr:rowOff>
    </xdr:from>
    <xdr:to>
      <xdr:col>9</xdr:col>
      <xdr:colOff>180975</xdr:colOff>
      <xdr:row>35</xdr:row>
      <xdr:rowOff>47625</xdr:rowOff>
    </xdr:to>
    <xdr:sp>
      <xdr:nvSpPr>
        <xdr:cNvPr id="3" name="TextBox 3">
          <a:hlinkClick r:id="rId3"/>
        </xdr:cNvPr>
        <xdr:cNvSpPr txBox="1">
          <a:spLocks noChangeArrowheads="1"/>
        </xdr:cNvSpPr>
      </xdr:nvSpPr>
      <xdr:spPr>
        <a:xfrm>
          <a:off x="4086225" y="7410450"/>
          <a:ext cx="2781300" cy="304800"/>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www.manitoba.ca/agriculture</a:t>
          </a:r>
        </a:p>
      </xdr:txBody>
    </xdr:sp>
    <xdr:clientData/>
  </xdr:twoCellAnchor>
  <xdr:twoCellAnchor>
    <xdr:from>
      <xdr:col>2</xdr:col>
      <xdr:colOff>381000</xdr:colOff>
      <xdr:row>34</xdr:row>
      <xdr:rowOff>209550</xdr:rowOff>
    </xdr:from>
    <xdr:to>
      <xdr:col>4</xdr:col>
      <xdr:colOff>590550</xdr:colOff>
      <xdr:row>36</xdr:row>
      <xdr:rowOff>57150</xdr:rowOff>
    </xdr:to>
    <xdr:sp>
      <xdr:nvSpPr>
        <xdr:cNvPr id="4" name="TextBox 4">
          <a:hlinkClick r:id="rId4"/>
        </xdr:cNvPr>
        <xdr:cNvSpPr txBox="1">
          <a:spLocks noChangeArrowheads="1"/>
        </xdr:cNvSpPr>
      </xdr:nvSpPr>
      <xdr:spPr>
        <a:xfrm>
          <a:off x="1733550" y="7648575"/>
          <a:ext cx="1733550" cy="304800"/>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MAFRD GO Office.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66</xdr:row>
      <xdr:rowOff>0</xdr:rowOff>
    </xdr:from>
    <xdr:to>
      <xdr:col>5</xdr:col>
      <xdr:colOff>466725</xdr:colOff>
      <xdr:row>67</xdr:row>
      <xdr:rowOff>9525</xdr:rowOff>
    </xdr:to>
    <xdr:sp>
      <xdr:nvSpPr>
        <xdr:cNvPr id="1" name="TextBox 5">
          <a:hlinkClick r:id="rId1"/>
        </xdr:cNvPr>
        <xdr:cNvSpPr txBox="1">
          <a:spLocks noChangeArrowheads="1"/>
        </xdr:cNvSpPr>
      </xdr:nvSpPr>
      <xdr:spPr>
        <a:xfrm>
          <a:off x="2085975" y="10487025"/>
          <a:ext cx="2562225" cy="238125"/>
        </a:xfrm>
        <a:prstGeom prst="rect">
          <a:avLst/>
        </a:prstGeom>
        <a:noFill/>
        <a:ln w="9525" cmpd="sng">
          <a:noFill/>
        </a:ln>
      </xdr:spPr>
      <xdr:txBody>
        <a:bodyPr vertOverflow="clip" wrap="square" anchor="ctr"/>
        <a:p>
          <a:pPr algn="l">
            <a:defRPr/>
          </a:pPr>
          <a:r>
            <a:rPr lang="en-US" cap="none" sz="1200" b="1" i="0" u="sng" baseline="0">
              <a:solidFill>
                <a:srgbClr val="0000FF"/>
              </a:solidFill>
              <a:latin typeface="Arial"/>
              <a:ea typeface="Arial"/>
              <a:cs typeface="Arial"/>
            </a:rPr>
            <a:t>MAFRD Farm Management</a:t>
          </a:r>
        </a:p>
      </xdr:txBody>
    </xdr:sp>
    <xdr:clientData/>
  </xdr:twoCellAnchor>
  <xdr:twoCellAnchor>
    <xdr:from>
      <xdr:col>3</xdr:col>
      <xdr:colOff>295275</xdr:colOff>
      <xdr:row>67</xdr:row>
      <xdr:rowOff>9525</xdr:rowOff>
    </xdr:from>
    <xdr:to>
      <xdr:col>7</xdr:col>
      <xdr:colOff>257175</xdr:colOff>
      <xdr:row>67</xdr:row>
      <xdr:rowOff>266700</xdr:rowOff>
    </xdr:to>
    <xdr:sp>
      <xdr:nvSpPr>
        <xdr:cNvPr id="2" name="TextBox 6">
          <a:hlinkClick r:id="rId2"/>
        </xdr:cNvPr>
        <xdr:cNvSpPr txBox="1">
          <a:spLocks noChangeArrowheads="1"/>
        </xdr:cNvSpPr>
      </xdr:nvSpPr>
      <xdr:spPr>
        <a:xfrm>
          <a:off x="2952750" y="10725150"/>
          <a:ext cx="3009900" cy="257175"/>
        </a:xfrm>
        <a:prstGeom prst="rect">
          <a:avLst/>
        </a:prstGeom>
        <a:noFill/>
        <a:ln w="9525" cmpd="sng">
          <a:noFill/>
        </a:ln>
      </xdr:spPr>
      <xdr:txBody>
        <a:bodyPr vertOverflow="clip" wrap="square"/>
        <a:p>
          <a:pPr algn="l">
            <a:defRPr/>
          </a:pPr>
          <a:r>
            <a:rPr lang="en-US" cap="none" sz="1200" b="1" i="0" u="sng" baseline="0">
              <a:solidFill>
                <a:srgbClr val="0000FF"/>
              </a:solidFill>
              <a:latin typeface="Arial"/>
              <a:ea typeface="Arial"/>
              <a:cs typeface="Arial"/>
            </a:rPr>
            <a:t>MAFRD GO Office </a:t>
          </a:r>
          <a:r>
            <a:rPr lang="en-US" cap="none" sz="1200" b="1" i="0" u="none" baseline="0">
              <a:solidFill>
                <a:srgbClr val="000000"/>
              </a:solidFill>
              <a:latin typeface="Arial"/>
              <a:ea typeface="Arial"/>
              <a:cs typeface="Arial"/>
            </a:rPr>
            <a: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Derrick.Chomokovski@gov.mb.ca" TargetMode="External" /><Relationship Id="rId2" Type="http://schemas.openxmlformats.org/officeDocument/2006/relationships/comments" Target="../comments8.xml" /><Relationship Id="rId3" Type="http://schemas.openxmlformats.org/officeDocument/2006/relationships/vmlDrawing" Target="../drawings/vmlDrawing6.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Derrick.Chomokovski@gov.mb.ca" TargetMode="External" /><Relationship Id="rId2" Type="http://schemas.openxmlformats.org/officeDocument/2006/relationships/hyperlink" Target="mailto:roy.arnott@gov.mb.ca" TargetMode="External" /><Relationship Id="rId3" Type="http://schemas.openxmlformats.org/officeDocument/2006/relationships/drawing" Target="../drawings/drawing2.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2">
    <pageSetUpPr fitToPage="1"/>
  </sheetPr>
  <dimension ref="A2:J68"/>
  <sheetViews>
    <sheetView showGridLines="0" tabSelected="1" zoomScalePageLayoutView="0" workbookViewId="0" topLeftCell="A1">
      <selection activeCell="A1" sqref="A1"/>
    </sheetView>
  </sheetViews>
  <sheetFormatPr defaultColWidth="11.421875" defaultRowHeight="12.75"/>
  <cols>
    <col min="1" max="1" width="7.28125" style="6" customWidth="1"/>
    <col min="2" max="2" width="13.00390625" style="6" customWidth="1"/>
    <col min="3" max="16384" width="11.421875" style="6" customWidth="1"/>
  </cols>
  <sheetData>
    <row r="1" ht="15"/>
    <row r="2" spans="1:10" ht="15">
      <c r="A2" s="269"/>
      <c r="B2" s="269"/>
      <c r="C2" s="269"/>
      <c r="D2" s="269"/>
      <c r="E2" s="269"/>
      <c r="F2" s="269"/>
      <c r="G2" s="269"/>
      <c r="H2" s="269"/>
      <c r="I2" s="269"/>
      <c r="J2" s="269"/>
    </row>
    <row r="3" spans="1:10" s="272" customFormat="1" ht="27">
      <c r="A3" s="270" t="s">
        <v>210</v>
      </c>
      <c r="B3" s="271"/>
      <c r="C3" s="271"/>
      <c r="D3" s="271"/>
      <c r="E3" s="271"/>
      <c r="F3" s="271"/>
      <c r="G3" s="271"/>
      <c r="H3" s="271"/>
      <c r="I3" s="271"/>
      <c r="J3" s="271"/>
    </row>
    <row r="4" spans="1:10" s="272" customFormat="1" ht="15" customHeight="1">
      <c r="A4" s="270"/>
      <c r="B4" s="271"/>
      <c r="C4" s="271"/>
      <c r="D4" s="271"/>
      <c r="E4" s="271"/>
      <c r="F4" s="271"/>
      <c r="G4" s="271"/>
      <c r="H4" s="271"/>
      <c r="I4" s="271"/>
      <c r="J4" s="271"/>
    </row>
    <row r="5" spans="1:10" ht="20.25">
      <c r="A5" s="492" t="s">
        <v>70</v>
      </c>
      <c r="B5" s="492"/>
      <c r="C5" s="492"/>
      <c r="D5" s="492"/>
      <c r="E5" s="492"/>
      <c r="F5" s="492"/>
      <c r="G5" s="492"/>
      <c r="H5" s="492"/>
      <c r="I5" s="492"/>
      <c r="J5" s="492"/>
    </row>
    <row r="6" spans="1:10" ht="26.25">
      <c r="A6" s="493" t="str">
        <f>"Forage Seed Production Costs - "&amp;J13</f>
        <v>Forage Seed Production Costs - 2016</v>
      </c>
      <c r="B6" s="493"/>
      <c r="C6" s="493"/>
      <c r="D6" s="493"/>
      <c r="E6" s="493"/>
      <c r="F6" s="493"/>
      <c r="G6" s="493"/>
      <c r="H6" s="493"/>
      <c r="I6" s="493"/>
      <c r="J6" s="493"/>
    </row>
    <row r="13" spans="9:10" ht="18">
      <c r="I13" s="127" t="s">
        <v>322</v>
      </c>
      <c r="J13" s="242">
        <v>2016</v>
      </c>
    </row>
    <row r="14" ht="18">
      <c r="B14" s="127"/>
    </row>
    <row r="16" spans="2:10" ht="18" customHeight="1">
      <c r="B16" s="489" t="s">
        <v>213</v>
      </c>
      <c r="C16" s="489"/>
      <c r="D16" s="489"/>
      <c r="E16" s="489"/>
      <c r="F16" s="489"/>
      <c r="G16" s="489"/>
      <c r="H16" s="489"/>
      <c r="I16" s="489"/>
      <c r="J16" s="489"/>
    </row>
    <row r="17" spans="2:10" ht="18" customHeight="1">
      <c r="B17" s="489"/>
      <c r="C17" s="489"/>
      <c r="D17" s="489"/>
      <c r="E17" s="489"/>
      <c r="F17" s="489"/>
      <c r="G17" s="489"/>
      <c r="H17" s="489"/>
      <c r="I17" s="489"/>
      <c r="J17" s="489"/>
    </row>
    <row r="18" spans="2:10" ht="18" customHeight="1">
      <c r="B18" s="489"/>
      <c r="C18" s="489"/>
      <c r="D18" s="489"/>
      <c r="E18" s="489"/>
      <c r="F18" s="489"/>
      <c r="G18" s="489"/>
      <c r="H18" s="489"/>
      <c r="I18" s="489"/>
      <c r="J18" s="489"/>
    </row>
    <row r="19" spans="2:10" ht="18" customHeight="1">
      <c r="B19" s="489"/>
      <c r="C19" s="489"/>
      <c r="D19" s="489"/>
      <c r="E19" s="489"/>
      <c r="F19" s="489"/>
      <c r="G19" s="489"/>
      <c r="H19" s="489"/>
      <c r="I19" s="489"/>
      <c r="J19" s="489"/>
    </row>
    <row r="20" spans="2:10" ht="18" customHeight="1">
      <c r="B20" s="489"/>
      <c r="C20" s="489"/>
      <c r="D20" s="489"/>
      <c r="E20" s="489"/>
      <c r="F20" s="489"/>
      <c r="G20" s="489"/>
      <c r="H20" s="489"/>
      <c r="I20" s="489"/>
      <c r="J20" s="489"/>
    </row>
    <row r="21" spans="2:10" ht="18" customHeight="1">
      <c r="B21" s="489"/>
      <c r="C21" s="489"/>
      <c r="D21" s="489"/>
      <c r="E21" s="489"/>
      <c r="F21" s="489"/>
      <c r="G21" s="489"/>
      <c r="H21" s="489"/>
      <c r="I21" s="489"/>
      <c r="J21" s="489"/>
    </row>
    <row r="22" spans="2:10" ht="18" customHeight="1">
      <c r="B22" s="489"/>
      <c r="C22" s="489"/>
      <c r="D22" s="489"/>
      <c r="E22" s="489"/>
      <c r="F22" s="489"/>
      <c r="G22" s="489"/>
      <c r="H22" s="489"/>
      <c r="I22" s="489"/>
      <c r="J22" s="489"/>
    </row>
    <row r="23" spans="2:10" ht="18" customHeight="1">
      <c r="B23" s="489"/>
      <c r="C23" s="489"/>
      <c r="D23" s="489"/>
      <c r="E23" s="489"/>
      <c r="F23" s="489"/>
      <c r="G23" s="489"/>
      <c r="H23" s="489"/>
      <c r="I23" s="489"/>
      <c r="J23" s="489"/>
    </row>
    <row r="24" spans="2:10" ht="18" customHeight="1">
      <c r="B24" s="273"/>
      <c r="C24" s="273"/>
      <c r="D24" s="273"/>
      <c r="E24" s="273"/>
      <c r="F24" s="273"/>
      <c r="G24" s="273"/>
      <c r="H24" s="273"/>
      <c r="I24" s="273"/>
      <c r="J24" s="273"/>
    </row>
    <row r="25" spans="2:9" ht="18" customHeight="1">
      <c r="B25" s="244"/>
      <c r="C25" s="244"/>
      <c r="D25" s="244"/>
      <c r="E25" s="244"/>
      <c r="F25" s="244"/>
      <c r="G25" s="244"/>
      <c r="H25" s="244"/>
      <c r="I25" s="244"/>
    </row>
    <row r="26" spans="2:10" ht="18" customHeight="1">
      <c r="B26" s="489" t="s">
        <v>211</v>
      </c>
      <c r="C26" s="489"/>
      <c r="D26" s="489"/>
      <c r="E26" s="489"/>
      <c r="F26" s="489"/>
      <c r="G26" s="489"/>
      <c r="H26" s="489"/>
      <c r="I26" s="489"/>
      <c r="J26" s="489"/>
    </row>
    <row r="27" spans="2:10" ht="18" customHeight="1">
      <c r="B27" s="489"/>
      <c r="C27" s="489"/>
      <c r="D27" s="489"/>
      <c r="E27" s="489"/>
      <c r="F27" s="489"/>
      <c r="G27" s="489"/>
      <c r="H27" s="489"/>
      <c r="I27" s="489"/>
      <c r="J27" s="489"/>
    </row>
    <row r="28" spans="2:10" ht="18" customHeight="1">
      <c r="B28" s="489"/>
      <c r="C28" s="489"/>
      <c r="D28" s="489"/>
      <c r="E28" s="489"/>
      <c r="F28" s="489"/>
      <c r="G28" s="489"/>
      <c r="H28" s="489"/>
      <c r="I28" s="489"/>
      <c r="J28" s="489"/>
    </row>
    <row r="29" spans="2:10" ht="18" customHeight="1">
      <c r="B29" s="117"/>
      <c r="C29" s="117"/>
      <c r="D29" s="117"/>
      <c r="E29" s="117"/>
      <c r="F29" s="117"/>
      <c r="G29" s="117"/>
      <c r="H29" s="117"/>
      <c r="I29" s="117"/>
      <c r="J29" s="117"/>
    </row>
    <row r="30" ht="18">
      <c r="B30" s="117"/>
    </row>
    <row r="31" spans="2:10" ht="18" customHeight="1">
      <c r="B31" s="489" t="s">
        <v>250</v>
      </c>
      <c r="C31" s="489"/>
      <c r="D31" s="489"/>
      <c r="E31" s="489"/>
      <c r="F31" s="489"/>
      <c r="G31" s="489"/>
      <c r="H31" s="489"/>
      <c r="I31" s="489"/>
      <c r="J31" s="489"/>
    </row>
    <row r="32" spans="2:10" ht="18" customHeight="1">
      <c r="B32" s="489"/>
      <c r="C32" s="489"/>
      <c r="D32" s="489"/>
      <c r="E32" s="489"/>
      <c r="F32" s="489"/>
      <c r="G32" s="489"/>
      <c r="H32" s="489"/>
      <c r="I32" s="489"/>
      <c r="J32" s="489"/>
    </row>
    <row r="33" spans="2:10" ht="18" customHeight="1">
      <c r="B33" s="489"/>
      <c r="C33" s="489"/>
      <c r="D33" s="489"/>
      <c r="E33" s="489"/>
      <c r="F33" s="489"/>
      <c r="G33" s="489"/>
      <c r="H33" s="489"/>
      <c r="I33" s="489"/>
      <c r="J33" s="489"/>
    </row>
    <row r="34" spans="2:10" ht="18" customHeight="1">
      <c r="B34" s="489"/>
      <c r="C34" s="489"/>
      <c r="D34" s="489"/>
      <c r="E34" s="489"/>
      <c r="F34" s="489"/>
      <c r="G34" s="489"/>
      <c r="H34" s="489"/>
      <c r="I34" s="489"/>
      <c r="J34" s="489"/>
    </row>
    <row r="35" spans="2:10" ht="18" customHeight="1">
      <c r="B35" s="243" t="s">
        <v>247</v>
      </c>
      <c r="C35" s="243"/>
      <c r="D35" s="243"/>
      <c r="E35" s="243"/>
      <c r="F35" s="243"/>
      <c r="G35" s="243"/>
      <c r="H35" s="243"/>
      <c r="I35" s="243"/>
      <c r="J35" s="243"/>
    </row>
    <row r="36" spans="2:10" ht="18" customHeight="1">
      <c r="B36" s="243" t="s">
        <v>248</v>
      </c>
      <c r="C36" s="243"/>
      <c r="D36" s="243"/>
      <c r="E36" s="243"/>
      <c r="F36" s="243"/>
      <c r="G36" s="243"/>
      <c r="H36" s="243"/>
      <c r="I36" s="243"/>
      <c r="J36" s="243"/>
    </row>
    <row r="37" spans="2:10" ht="18" customHeight="1">
      <c r="B37" s="243" t="s">
        <v>249</v>
      </c>
      <c r="C37" s="273"/>
      <c r="D37" s="273"/>
      <c r="E37" s="273"/>
      <c r="F37" s="273"/>
      <c r="G37" s="273"/>
      <c r="H37" s="273"/>
      <c r="I37" s="273"/>
      <c r="J37" s="273"/>
    </row>
    <row r="38" spans="2:10" ht="18" customHeight="1">
      <c r="B38" s="117"/>
      <c r="C38" s="117"/>
      <c r="D38" s="117"/>
      <c r="E38" s="117"/>
      <c r="F38" s="117"/>
      <c r="G38" s="117"/>
      <c r="H38" s="117"/>
      <c r="I38" s="117"/>
      <c r="J38" s="45"/>
    </row>
    <row r="39" spans="2:10" ht="18" customHeight="1">
      <c r="B39" s="490" t="s">
        <v>212</v>
      </c>
      <c r="C39" s="490"/>
      <c r="D39" s="490"/>
      <c r="E39" s="490"/>
      <c r="F39" s="490"/>
      <c r="G39" s="490"/>
      <c r="H39" s="490"/>
      <c r="I39" s="490"/>
      <c r="J39" s="490"/>
    </row>
    <row r="40" spans="2:10" ht="15" customHeight="1">
      <c r="B40" s="490"/>
      <c r="C40" s="490"/>
      <c r="D40" s="490"/>
      <c r="E40" s="490"/>
      <c r="F40" s="490"/>
      <c r="G40" s="490"/>
      <c r="H40" s="490"/>
      <c r="I40" s="490"/>
      <c r="J40" s="490"/>
    </row>
    <row r="41" spans="2:10" ht="15" customHeight="1">
      <c r="B41" s="490"/>
      <c r="C41" s="490"/>
      <c r="D41" s="490"/>
      <c r="E41" s="490"/>
      <c r="F41" s="490"/>
      <c r="G41" s="490"/>
      <c r="H41" s="490"/>
      <c r="I41" s="490"/>
      <c r="J41" s="490"/>
    </row>
    <row r="42" ht="18">
      <c r="B42" s="127"/>
    </row>
    <row r="43" ht="18">
      <c r="B43" s="127"/>
    </row>
    <row r="45" spans="2:10" ht="18" customHeight="1">
      <c r="B45" s="489"/>
      <c r="C45" s="489"/>
      <c r="D45" s="489"/>
      <c r="E45" s="489"/>
      <c r="F45" s="489"/>
      <c r="G45" s="489"/>
      <c r="H45" s="489"/>
      <c r="I45" s="489"/>
      <c r="J45" s="489"/>
    </row>
    <row r="46" spans="2:10" ht="18" customHeight="1">
      <c r="B46" s="489"/>
      <c r="C46" s="489"/>
      <c r="D46" s="489"/>
      <c r="E46" s="489"/>
      <c r="F46" s="489"/>
      <c r="G46" s="489"/>
      <c r="H46" s="489"/>
      <c r="I46" s="489"/>
      <c r="J46" s="489"/>
    </row>
    <row r="47" spans="2:10" ht="18" customHeight="1">
      <c r="B47" s="489"/>
      <c r="C47" s="489"/>
      <c r="D47" s="489"/>
      <c r="E47" s="489"/>
      <c r="F47" s="489"/>
      <c r="G47" s="489"/>
      <c r="H47" s="489"/>
      <c r="I47" s="489"/>
      <c r="J47" s="489"/>
    </row>
    <row r="48" spans="2:10" ht="18" customHeight="1">
      <c r="B48" s="489"/>
      <c r="C48" s="489"/>
      <c r="D48" s="489"/>
      <c r="E48" s="489"/>
      <c r="F48" s="489"/>
      <c r="G48" s="489"/>
      <c r="H48" s="489"/>
      <c r="I48" s="489"/>
      <c r="J48" s="489"/>
    </row>
    <row r="49" spans="2:10" ht="18" customHeight="1">
      <c r="B49" s="489"/>
      <c r="C49" s="489"/>
      <c r="D49" s="489"/>
      <c r="E49" s="489"/>
      <c r="F49" s="489"/>
      <c r="G49" s="489"/>
      <c r="H49" s="489"/>
      <c r="I49" s="489"/>
      <c r="J49" s="489"/>
    </row>
    <row r="50" spans="2:9" ht="18" customHeight="1">
      <c r="B50" s="244"/>
      <c r="C50" s="244"/>
      <c r="D50" s="244"/>
      <c r="E50" s="244"/>
      <c r="F50" s="244"/>
      <c r="G50" s="244"/>
      <c r="H50" s="244"/>
      <c r="I50" s="244"/>
    </row>
    <row r="51" spans="2:10" ht="18" customHeight="1">
      <c r="B51" s="489"/>
      <c r="C51" s="489"/>
      <c r="D51" s="489"/>
      <c r="E51" s="489"/>
      <c r="F51" s="489"/>
      <c r="G51" s="489"/>
      <c r="H51" s="489"/>
      <c r="I51" s="489"/>
      <c r="J51" s="489"/>
    </row>
    <row r="52" spans="2:10" ht="18" customHeight="1">
      <c r="B52" s="489"/>
      <c r="C52" s="489"/>
      <c r="D52" s="489"/>
      <c r="E52" s="489"/>
      <c r="F52" s="489"/>
      <c r="G52" s="489"/>
      <c r="H52" s="489"/>
      <c r="I52" s="489"/>
      <c r="J52" s="489"/>
    </row>
    <row r="53" spans="2:10" ht="18" customHeight="1">
      <c r="B53" s="489"/>
      <c r="C53" s="489"/>
      <c r="D53" s="489"/>
      <c r="E53" s="489"/>
      <c r="F53" s="489"/>
      <c r="G53" s="489"/>
      <c r="H53" s="489"/>
      <c r="I53" s="489"/>
      <c r="J53" s="489"/>
    </row>
    <row r="54" ht="18">
      <c r="B54" s="117"/>
    </row>
    <row r="55" spans="2:10" ht="18" customHeight="1">
      <c r="B55" s="489"/>
      <c r="C55" s="489"/>
      <c r="D55" s="489"/>
      <c r="E55" s="489"/>
      <c r="F55" s="489"/>
      <c r="G55" s="489"/>
      <c r="H55" s="489"/>
      <c r="I55" s="489"/>
      <c r="J55" s="489"/>
    </row>
    <row r="56" spans="2:10" ht="18" customHeight="1">
      <c r="B56" s="489"/>
      <c r="C56" s="489"/>
      <c r="D56" s="489"/>
      <c r="E56" s="489"/>
      <c r="F56" s="489"/>
      <c r="G56" s="489"/>
      <c r="H56" s="489"/>
      <c r="I56" s="489"/>
      <c r="J56" s="489"/>
    </row>
    <row r="57" spans="2:10" ht="18" customHeight="1">
      <c r="B57" s="489"/>
      <c r="C57" s="489"/>
      <c r="D57" s="489"/>
      <c r="E57" s="489"/>
      <c r="F57" s="489"/>
      <c r="G57" s="489"/>
      <c r="H57" s="489"/>
      <c r="I57" s="489"/>
      <c r="J57" s="489"/>
    </row>
    <row r="58" spans="2:10" ht="18" customHeight="1">
      <c r="B58" s="489"/>
      <c r="C58" s="489"/>
      <c r="D58" s="489"/>
      <c r="E58" s="489"/>
      <c r="F58" s="489"/>
      <c r="G58" s="489"/>
      <c r="H58" s="489"/>
      <c r="I58" s="489"/>
      <c r="J58" s="489"/>
    </row>
    <row r="59" spans="2:10" ht="18" customHeight="1">
      <c r="B59" s="489"/>
      <c r="C59" s="489"/>
      <c r="D59" s="489"/>
      <c r="E59" s="489"/>
      <c r="F59" s="489"/>
      <c r="G59" s="489"/>
      <c r="H59" s="489"/>
      <c r="I59" s="489"/>
      <c r="J59" s="489"/>
    </row>
    <row r="60" spans="2:10" ht="18" customHeight="1">
      <c r="B60" s="489"/>
      <c r="C60" s="489"/>
      <c r="D60" s="489"/>
      <c r="E60" s="489"/>
      <c r="F60" s="489"/>
      <c r="G60" s="489"/>
      <c r="H60" s="489"/>
      <c r="I60" s="489"/>
      <c r="J60" s="489"/>
    </row>
    <row r="61" spans="2:10" ht="18" customHeight="1">
      <c r="B61" s="243"/>
      <c r="C61" s="243"/>
      <c r="D61" s="243"/>
      <c r="E61" s="243"/>
      <c r="F61" s="243"/>
      <c r="G61" s="243"/>
      <c r="H61" s="243"/>
      <c r="I61" s="243"/>
      <c r="J61" s="243"/>
    </row>
    <row r="62" spans="2:10" ht="18" customHeight="1">
      <c r="B62" s="243"/>
      <c r="C62" s="243"/>
      <c r="D62" s="243"/>
      <c r="E62" s="243"/>
      <c r="F62" s="243"/>
      <c r="G62" s="243"/>
      <c r="H62" s="243"/>
      <c r="I62" s="243"/>
      <c r="J62" s="243"/>
    </row>
    <row r="63" spans="2:10" ht="18" customHeight="1">
      <c r="B63" s="491"/>
      <c r="C63" s="491"/>
      <c r="D63" s="491"/>
      <c r="E63" s="491"/>
      <c r="F63" s="491"/>
      <c r="G63" s="491"/>
      <c r="H63" s="491"/>
      <c r="I63" s="491"/>
      <c r="J63" s="491"/>
    </row>
    <row r="64" spans="2:10" ht="15" customHeight="1">
      <c r="B64" s="491"/>
      <c r="C64" s="491"/>
      <c r="D64" s="491"/>
      <c r="E64" s="491"/>
      <c r="F64" s="491"/>
      <c r="G64" s="491"/>
      <c r="H64" s="491"/>
      <c r="I64" s="491"/>
      <c r="J64" s="491"/>
    </row>
    <row r="65" spans="2:10" ht="15" customHeight="1">
      <c r="B65" s="491"/>
      <c r="C65" s="491"/>
      <c r="D65" s="491"/>
      <c r="E65" s="491"/>
      <c r="F65" s="491"/>
      <c r="G65" s="491"/>
      <c r="H65" s="491"/>
      <c r="I65" s="491"/>
      <c r="J65" s="491"/>
    </row>
    <row r="66" spans="2:10" ht="15" customHeight="1">
      <c r="B66" s="491"/>
      <c r="C66" s="491"/>
      <c r="D66" s="491"/>
      <c r="E66" s="491"/>
      <c r="F66" s="491"/>
      <c r="G66" s="491"/>
      <c r="H66" s="491"/>
      <c r="I66" s="491"/>
      <c r="J66" s="491"/>
    </row>
    <row r="67" spans="2:10" ht="15" customHeight="1">
      <c r="B67" s="491"/>
      <c r="C67" s="491"/>
      <c r="D67" s="491"/>
      <c r="E67" s="491"/>
      <c r="F67" s="491"/>
      <c r="G67" s="491"/>
      <c r="H67" s="491"/>
      <c r="I67" s="491"/>
      <c r="J67" s="491"/>
    </row>
    <row r="68" spans="2:10" ht="15" customHeight="1">
      <c r="B68" s="491"/>
      <c r="C68" s="491"/>
      <c r="D68" s="491"/>
      <c r="E68" s="491"/>
      <c r="F68" s="491"/>
      <c r="G68" s="491"/>
      <c r="H68" s="491"/>
      <c r="I68" s="491"/>
      <c r="J68" s="491"/>
    </row>
  </sheetData>
  <sheetProtection password="C6A6" sheet="1"/>
  <mergeCells count="10">
    <mergeCell ref="B16:J23"/>
    <mergeCell ref="B26:J28"/>
    <mergeCell ref="B31:J34"/>
    <mergeCell ref="B39:J41"/>
    <mergeCell ref="B63:J68"/>
    <mergeCell ref="A5:J5"/>
    <mergeCell ref="A6:J6"/>
    <mergeCell ref="B45:J49"/>
    <mergeCell ref="B51:J53"/>
    <mergeCell ref="B55:J60"/>
  </mergeCells>
  <printOptions/>
  <pageMargins left="0.7480314960629921" right="0.7480314960629921" top="0.8661417322834646" bottom="0.984251968503937" header="0.5118110236220472" footer="0.5118110236220472"/>
  <pageSetup fitToHeight="1" fitToWidth="1" horizontalDpi="300" verticalDpi="300" orientation="portrait" scale="81" r:id="rId3"/>
  <drawing r:id="rId2"/>
  <legacyDrawing r:id="rId1"/>
</worksheet>
</file>

<file path=xl/worksheets/sheet2.xml><?xml version="1.0" encoding="utf-8"?>
<worksheet xmlns="http://schemas.openxmlformats.org/spreadsheetml/2006/main" xmlns:r="http://schemas.openxmlformats.org/officeDocument/2006/relationships">
  <sheetPr codeName="Sheet7"/>
  <dimension ref="A1:CF84"/>
  <sheetViews>
    <sheetView showGridLines="0" zoomScale="70" zoomScaleNormal="70" workbookViewId="0" topLeftCell="A1">
      <pane ySplit="9" topLeftCell="A10" activePane="bottomLeft" state="frozen"/>
      <selection pane="topLeft" activeCell="A1" sqref="A1"/>
      <selection pane="bottomLeft" activeCell="A1" sqref="A1:K1"/>
    </sheetView>
  </sheetViews>
  <sheetFormatPr defaultColWidth="10.28125" defaultRowHeight="12.75"/>
  <cols>
    <col min="1" max="1" width="2.140625" style="1" customWidth="1"/>
    <col min="2" max="2" width="30.421875" style="1" customWidth="1"/>
    <col min="3" max="3" width="12.7109375" style="80" customWidth="1"/>
    <col min="4" max="5" width="11.28125" style="80" customWidth="1"/>
    <col min="6" max="6" width="12.7109375" style="80" customWidth="1"/>
    <col min="7" max="9" width="11.28125" style="80" customWidth="1"/>
    <col min="10" max="10" width="12.7109375" style="80" customWidth="1"/>
    <col min="11" max="11" width="11.28125" style="80" customWidth="1"/>
    <col min="12" max="12" width="12.7109375" style="80" customWidth="1"/>
    <col min="13" max="13" width="11.28125" style="80" customWidth="1"/>
    <col min="14" max="14" width="12.7109375" style="80" customWidth="1"/>
    <col min="15" max="15" width="11.28125" style="80" customWidth="1"/>
    <col min="16" max="16" width="12.7109375" style="80" customWidth="1"/>
    <col min="17" max="17" width="11.28125" style="80" customWidth="1"/>
    <col min="18" max="18" width="12.7109375" style="80" customWidth="1"/>
    <col min="19" max="20" width="11.28125" style="80" customWidth="1"/>
    <col min="21" max="21" width="13.7109375" style="1" customWidth="1"/>
    <col min="22" max="22" width="10.28125" style="1" customWidth="1"/>
    <col min="23" max="83" width="10.28125" style="2" customWidth="1"/>
    <col min="84" max="84" width="13.140625" style="2" bestFit="1" customWidth="1"/>
    <col min="85" max="16384" width="10.28125" style="2" customWidth="1"/>
  </cols>
  <sheetData>
    <row r="1" spans="1:22" ht="18" customHeight="1">
      <c r="A1" s="507" t="str">
        <f>"Forage Seed Production Costs "&amp;Introduction!J13&amp;" (Dollars Per Acre)"</f>
        <v>Forage Seed Production Costs 2016 (Dollars Per Acre)</v>
      </c>
      <c r="B1" s="507"/>
      <c r="C1" s="507"/>
      <c r="D1" s="507"/>
      <c r="E1" s="507"/>
      <c r="F1" s="507"/>
      <c r="G1" s="507"/>
      <c r="H1" s="507"/>
      <c r="I1" s="507"/>
      <c r="J1" s="507"/>
      <c r="K1" s="507"/>
      <c r="L1" s="507" t="str">
        <f>"Forage Seed Production Costs "&amp;Introduction!J13&amp;" (Dollars Per Acre)"</f>
        <v>Forage Seed Production Costs 2016 (Dollars Per Acre)</v>
      </c>
      <c r="M1" s="507"/>
      <c r="N1" s="507"/>
      <c r="O1" s="507"/>
      <c r="P1" s="507"/>
      <c r="Q1" s="507"/>
      <c r="R1" s="507"/>
      <c r="S1" s="507"/>
      <c r="T1" s="507"/>
      <c r="U1" s="507"/>
      <c r="V1" s="105"/>
    </row>
    <row r="2" spans="1:22" ht="7.5" customHeight="1">
      <c r="A2" s="89"/>
      <c r="B2" s="89"/>
      <c r="C2" s="89"/>
      <c r="D2" s="89"/>
      <c r="E2" s="89"/>
      <c r="F2" s="89"/>
      <c r="G2" s="89"/>
      <c r="H2" s="89"/>
      <c r="I2" s="89"/>
      <c r="J2" s="89"/>
      <c r="K2" s="89"/>
      <c r="L2" s="89"/>
      <c r="M2" s="89"/>
      <c r="N2" s="89"/>
      <c r="O2" s="89"/>
      <c r="P2" s="89"/>
      <c r="Q2" s="89"/>
      <c r="R2" s="89"/>
      <c r="S2" s="89"/>
      <c r="T2" s="89"/>
      <c r="U2" s="89"/>
      <c r="V2" s="89"/>
    </row>
    <row r="3" spans="1:22" s="343" customFormat="1" ht="18" customHeight="1">
      <c r="A3" s="341"/>
      <c r="B3" s="341"/>
      <c r="C3" s="495" t="s">
        <v>164</v>
      </c>
      <c r="D3" s="496"/>
      <c r="E3" s="497"/>
      <c r="F3" s="495" t="s">
        <v>166</v>
      </c>
      <c r="G3" s="496"/>
      <c r="H3" s="497"/>
      <c r="I3" s="509" t="s">
        <v>168</v>
      </c>
      <c r="J3" s="503" t="s">
        <v>157</v>
      </c>
      <c r="K3" s="504"/>
      <c r="L3" s="501" t="s">
        <v>239</v>
      </c>
      <c r="M3" s="502"/>
      <c r="N3" s="495" t="s">
        <v>173</v>
      </c>
      <c r="O3" s="497"/>
      <c r="P3" s="495" t="s">
        <v>175</v>
      </c>
      <c r="Q3" s="497"/>
      <c r="R3" s="495" t="s">
        <v>239</v>
      </c>
      <c r="S3" s="496"/>
      <c r="T3" s="497"/>
      <c r="U3" s="342"/>
      <c r="V3" s="341"/>
    </row>
    <row r="4" spans="1:22" s="343" customFormat="1" ht="15" customHeight="1">
      <c r="A4" s="341"/>
      <c r="B4" s="341"/>
      <c r="C4" s="498"/>
      <c r="D4" s="499"/>
      <c r="E4" s="500"/>
      <c r="F4" s="498"/>
      <c r="G4" s="499"/>
      <c r="H4" s="500"/>
      <c r="I4" s="510"/>
      <c r="J4" s="505"/>
      <c r="K4" s="506"/>
      <c r="L4" s="498" t="s">
        <v>171</v>
      </c>
      <c r="M4" s="500"/>
      <c r="N4" s="498"/>
      <c r="O4" s="500"/>
      <c r="P4" s="498"/>
      <c r="Q4" s="500"/>
      <c r="R4" s="498" t="s">
        <v>203</v>
      </c>
      <c r="S4" s="499"/>
      <c r="T4" s="500"/>
      <c r="V4" s="341"/>
    </row>
    <row r="5" spans="1:20" s="109" customFormat="1" ht="15">
      <c r="A5" s="107"/>
      <c r="B5" s="107"/>
      <c r="C5" s="229" t="str">
        <f>'Seed, Fertilizer &amp; Chemicals'!C7</f>
        <v>Wheat</v>
      </c>
      <c r="D5" s="230" t="s">
        <v>200</v>
      </c>
      <c r="E5" s="153" t="s">
        <v>102</v>
      </c>
      <c r="F5" s="229" t="str">
        <f>'Seed, Fertilizer &amp; Chemicals'!C10</f>
        <v>Wheat</v>
      </c>
      <c r="G5" s="230" t="s">
        <v>200</v>
      </c>
      <c r="H5" s="153" t="s">
        <v>102</v>
      </c>
      <c r="I5" s="203" t="s">
        <v>102</v>
      </c>
      <c r="J5" s="229" t="str">
        <f>'Seed, Fertilizer &amp; Chemicals'!C15</f>
        <v>Wheat</v>
      </c>
      <c r="K5" s="153" t="s">
        <v>102</v>
      </c>
      <c r="L5" s="229" t="str">
        <f>'Seed, Fertilizer &amp; Chemicals'!C18</f>
        <v>Wheat</v>
      </c>
      <c r="M5" s="153" t="s">
        <v>102</v>
      </c>
      <c r="N5" s="229" t="str">
        <f>'Seed, Fertilizer &amp; Chemicals'!C21</f>
        <v>Wheat</v>
      </c>
      <c r="O5" s="153" t="s">
        <v>102</v>
      </c>
      <c r="P5" s="229" t="str">
        <f>'Seed, Fertilizer &amp; Chemicals'!C24</f>
        <v>Wheat</v>
      </c>
      <c r="Q5" s="153" t="s">
        <v>102</v>
      </c>
      <c r="R5" s="229" t="str">
        <f>'Seed, Fertilizer &amp; Chemicals'!C27</f>
        <v>Wheat</v>
      </c>
      <c r="S5" s="230" t="s">
        <v>200</v>
      </c>
      <c r="T5" s="153" t="s">
        <v>102</v>
      </c>
    </row>
    <row r="6" spans="1:21" s="101" customFormat="1" ht="16.5">
      <c r="A6" s="100"/>
      <c r="B6" s="100"/>
      <c r="C6" s="183" t="s">
        <v>237</v>
      </c>
      <c r="D6" s="150" t="s">
        <v>236</v>
      </c>
      <c r="E6" s="184" t="s">
        <v>67</v>
      </c>
      <c r="F6" s="183" t="s">
        <v>237</v>
      </c>
      <c r="G6" s="150" t="s">
        <v>236</v>
      </c>
      <c r="H6" s="184" t="s">
        <v>67</v>
      </c>
      <c r="I6" s="204" t="s">
        <v>67</v>
      </c>
      <c r="J6" s="183" t="s">
        <v>237</v>
      </c>
      <c r="K6" s="184" t="s">
        <v>67</v>
      </c>
      <c r="L6" s="183" t="s">
        <v>237</v>
      </c>
      <c r="M6" s="184" t="s">
        <v>67</v>
      </c>
      <c r="N6" s="183" t="s">
        <v>237</v>
      </c>
      <c r="O6" s="184" t="s">
        <v>67</v>
      </c>
      <c r="P6" s="183" t="s">
        <v>237</v>
      </c>
      <c r="Q6" s="184" t="s">
        <v>67</v>
      </c>
      <c r="R6" s="183" t="s">
        <v>237</v>
      </c>
      <c r="S6" s="150" t="s">
        <v>236</v>
      </c>
      <c r="T6" s="184" t="s">
        <v>67</v>
      </c>
      <c r="U6" s="275" t="s">
        <v>214</v>
      </c>
    </row>
    <row r="7" spans="1:20" s="101" customFormat="1" ht="7.5" customHeight="1">
      <c r="A7" s="100"/>
      <c r="B7" s="100"/>
      <c r="C7" s="185"/>
      <c r="D7" s="110"/>
      <c r="E7" s="186"/>
      <c r="F7" s="185"/>
      <c r="G7" s="231"/>
      <c r="H7" s="186"/>
      <c r="I7" s="205"/>
      <c r="J7" s="185"/>
      <c r="K7" s="186"/>
      <c r="L7" s="185"/>
      <c r="M7" s="186"/>
      <c r="N7" s="185"/>
      <c r="O7" s="186"/>
      <c r="P7" s="185"/>
      <c r="Q7" s="226"/>
      <c r="R7" s="185"/>
      <c r="S7" s="110"/>
      <c r="T7" s="232"/>
    </row>
    <row r="8" spans="1:22" s="33" customFormat="1" ht="18">
      <c r="A8" s="10"/>
      <c r="B8" s="74" t="s">
        <v>83</v>
      </c>
      <c r="C8" s="187"/>
      <c r="D8" s="188"/>
      <c r="E8" s="189">
        <f>RANK(E53,$CF$11:$CF$18)</f>
        <v>3</v>
      </c>
      <c r="F8" s="187"/>
      <c r="G8" s="188"/>
      <c r="H8" s="189">
        <f>RANK(H53,$CF$11:$CF$18)</f>
        <v>6</v>
      </c>
      <c r="I8" s="189">
        <f>RANK(I53,$CF$11:$CF$18)</f>
        <v>7</v>
      </c>
      <c r="J8" s="187"/>
      <c r="K8" s="189">
        <f>RANK(K53,$CF$11:$CF$18)</f>
        <v>8</v>
      </c>
      <c r="L8" s="187"/>
      <c r="M8" s="189">
        <f>RANK(M53,$CF$11:$CF$18)</f>
        <v>4</v>
      </c>
      <c r="N8" s="187"/>
      <c r="O8" s="189">
        <f>RANK(O53,$CF$11:$CF$18)</f>
        <v>1</v>
      </c>
      <c r="P8" s="187"/>
      <c r="Q8" s="189">
        <f>RANK(Q53,$CF$11:$CF$18)</f>
        <v>2</v>
      </c>
      <c r="R8" s="187"/>
      <c r="S8" s="188"/>
      <c r="T8" s="189">
        <f>RANK(T53,$CF$11:$CF$18)</f>
        <v>5</v>
      </c>
      <c r="V8" s="73"/>
    </row>
    <row r="9" spans="1:22" s="33" customFormat="1" ht="7.5" customHeight="1">
      <c r="A9" s="10"/>
      <c r="B9" s="74"/>
      <c r="C9" s="187"/>
      <c r="D9" s="188"/>
      <c r="E9" s="189"/>
      <c r="F9" s="187"/>
      <c r="G9" s="188"/>
      <c r="H9" s="189"/>
      <c r="I9" s="206"/>
      <c r="J9" s="187"/>
      <c r="K9" s="189"/>
      <c r="L9" s="187"/>
      <c r="M9" s="189"/>
      <c r="N9" s="187"/>
      <c r="O9" s="189"/>
      <c r="P9" s="187"/>
      <c r="Q9" s="189"/>
      <c r="R9" s="187"/>
      <c r="S9" s="188"/>
      <c r="T9" s="189"/>
      <c r="V9" s="73"/>
    </row>
    <row r="10" spans="1:21" ht="18">
      <c r="A10" s="10" t="s">
        <v>24</v>
      </c>
      <c r="C10" s="456"/>
      <c r="D10" s="457"/>
      <c r="E10" s="458"/>
      <c r="F10" s="456"/>
      <c r="G10" s="465"/>
      <c r="H10" s="458"/>
      <c r="I10" s="467"/>
      <c r="J10" s="456"/>
      <c r="K10" s="458"/>
      <c r="L10" s="456"/>
      <c r="M10" s="458"/>
      <c r="N10" s="456"/>
      <c r="O10" s="458"/>
      <c r="P10" s="456"/>
      <c r="Q10" s="458"/>
      <c r="R10" s="456"/>
      <c r="S10" s="471"/>
      <c r="T10" s="458"/>
      <c r="U10" s="2"/>
    </row>
    <row r="11" spans="1:84" s="3" customFormat="1" ht="18">
      <c r="A11" s="72"/>
      <c r="B11" s="72" t="s">
        <v>201</v>
      </c>
      <c r="C11" s="170">
        <f>'Seed, Fertilizer &amp; Chemicals'!J6</f>
        <v>13.5</v>
      </c>
      <c r="D11" s="171">
        <f>'Seed, Fertilizer &amp; Chemicals'!J6</f>
        <v>13.5</v>
      </c>
      <c r="E11" s="459" t="s">
        <v>269</v>
      </c>
      <c r="F11" s="170">
        <f>'Seed, Fertilizer &amp; Chemicals'!J9</f>
        <v>10</v>
      </c>
      <c r="G11" s="171">
        <f>'Seed, Fertilizer &amp; Chemicals'!J9</f>
        <v>10</v>
      </c>
      <c r="H11" s="459" t="s">
        <v>269</v>
      </c>
      <c r="I11" s="207">
        <f>'Seed, Fertilizer &amp; Chemicals'!J12</f>
        <v>22.4</v>
      </c>
      <c r="J11" s="170">
        <f>'Seed, Fertilizer &amp; Chemicals'!J14</f>
        <v>20</v>
      </c>
      <c r="K11" s="459" t="s">
        <v>269</v>
      </c>
      <c r="L11" s="170">
        <f>'Seed, Fertilizer &amp; Chemicals'!J17</f>
        <v>18</v>
      </c>
      <c r="M11" s="459" t="s">
        <v>269</v>
      </c>
      <c r="N11" s="170">
        <f>'Seed, Fertilizer &amp; Chemicals'!J20</f>
        <v>20</v>
      </c>
      <c r="O11" s="459" t="s">
        <v>269</v>
      </c>
      <c r="P11" s="170">
        <f>'Seed, Fertilizer &amp; Chemicals'!J23</f>
        <v>22.75</v>
      </c>
      <c r="Q11" s="459" t="s">
        <v>269</v>
      </c>
      <c r="R11" s="170">
        <f>'Seed, Fertilizer &amp; Chemicals'!J26</f>
        <v>16</v>
      </c>
      <c r="S11" s="171">
        <f>'Seed, Fertilizer &amp; Chemicals'!J26</f>
        <v>16</v>
      </c>
      <c r="T11" s="459" t="s">
        <v>269</v>
      </c>
      <c r="U11" s="403"/>
      <c r="V11" s="80"/>
      <c r="CF11" s="452">
        <f>E53</f>
        <v>20.267020177322024</v>
      </c>
    </row>
    <row r="12" spans="1:84" s="3" customFormat="1" ht="18">
      <c r="A12" s="72"/>
      <c r="B12" s="72" t="s">
        <v>202</v>
      </c>
      <c r="C12" s="170">
        <f>'Seed, Fertilizer &amp; Chemicals'!J7</f>
        <v>11</v>
      </c>
      <c r="D12" s="405" t="s">
        <v>269</v>
      </c>
      <c r="E12" s="459" t="s">
        <v>269</v>
      </c>
      <c r="F12" s="170">
        <f>'Seed, Fertilizer &amp; Chemicals'!J10</f>
        <v>11</v>
      </c>
      <c r="G12" s="405" t="s">
        <v>269</v>
      </c>
      <c r="H12" s="459" t="s">
        <v>269</v>
      </c>
      <c r="I12" s="207">
        <v>0</v>
      </c>
      <c r="J12" s="170">
        <f>'Seed, Fertilizer &amp; Chemicals'!J10</f>
        <v>11</v>
      </c>
      <c r="K12" s="459" t="s">
        <v>269</v>
      </c>
      <c r="L12" s="170">
        <f>'Seed, Fertilizer &amp; Chemicals'!J18</f>
        <v>16.5</v>
      </c>
      <c r="M12" s="459" t="s">
        <v>269</v>
      </c>
      <c r="N12" s="170">
        <f>'Seed, Fertilizer &amp; Chemicals'!J21</f>
        <v>11</v>
      </c>
      <c r="O12" s="459" t="s">
        <v>269</v>
      </c>
      <c r="P12" s="170">
        <f>'Seed, Fertilizer &amp; Chemicals'!J24</f>
        <v>11</v>
      </c>
      <c r="Q12" s="459" t="s">
        <v>269</v>
      </c>
      <c r="R12" s="170">
        <f>'Seed, Fertilizer &amp; Chemicals'!J27</f>
        <v>11</v>
      </c>
      <c r="S12" s="405" t="s">
        <v>269</v>
      </c>
      <c r="T12" s="459" t="s">
        <v>269</v>
      </c>
      <c r="U12" s="403"/>
      <c r="V12" s="80"/>
      <c r="CF12" s="452">
        <f>H53</f>
        <v>2.815587154200955</v>
      </c>
    </row>
    <row r="13" spans="1:84" s="3" customFormat="1" ht="18">
      <c r="A13" s="72"/>
      <c r="B13" s="72" t="s">
        <v>206</v>
      </c>
      <c r="C13" s="460" t="s">
        <v>269</v>
      </c>
      <c r="D13" s="405" t="s">
        <v>269</v>
      </c>
      <c r="E13" s="190">
        <f>SUM(-C53/Production!D16)</f>
        <v>24.242238755684497</v>
      </c>
      <c r="F13" s="460" t="s">
        <v>269</v>
      </c>
      <c r="G13" s="405" t="s">
        <v>269</v>
      </c>
      <c r="H13" s="190">
        <f>SUM(-F53/Production!E16)</f>
        <v>21.97258799097014</v>
      </c>
      <c r="I13" s="207">
        <v>0</v>
      </c>
      <c r="J13" s="460" t="s">
        <v>269</v>
      </c>
      <c r="K13" s="190">
        <f>SUM(-J53/Production!J16)</f>
        <v>99.40035196388055</v>
      </c>
      <c r="L13" s="460" t="s">
        <v>269</v>
      </c>
      <c r="M13" s="190">
        <f>SUM(-L53/Production!F16)</f>
        <v>79.69354868388058</v>
      </c>
      <c r="N13" s="460" t="s">
        <v>269</v>
      </c>
      <c r="O13" s="190">
        <f>SUM(-N53/Production!G16)</f>
        <v>26.283450654626865</v>
      </c>
      <c r="P13" s="460" t="s">
        <v>269</v>
      </c>
      <c r="Q13" s="190">
        <f>SUM(-P53/Production!I16)</f>
        <v>22.880224137322855</v>
      </c>
      <c r="R13" s="460" t="s">
        <v>269</v>
      </c>
      <c r="S13" s="405" t="s">
        <v>269</v>
      </c>
      <c r="T13" s="190">
        <f>SUM(-R53/Production!K16)</f>
        <v>31.553632183097154</v>
      </c>
      <c r="U13" s="403"/>
      <c r="V13" s="80"/>
      <c r="CF13" s="452">
        <f>I53</f>
        <v>-82.80965931964374</v>
      </c>
    </row>
    <row r="14" spans="1:84" s="3" customFormat="1" ht="18">
      <c r="A14" s="72"/>
      <c r="B14" s="72" t="s">
        <v>26</v>
      </c>
      <c r="C14" s="170">
        <f>'Seed, Fertilizer &amp; Chemicals'!O42</f>
        <v>59.31502777607132</v>
      </c>
      <c r="D14" s="171">
        <f>'Seed, Fertilizer &amp; Chemicals'!O43</f>
        <v>17.031618353144502</v>
      </c>
      <c r="E14" s="190">
        <f>'Seed, Fertilizer &amp; Chemicals'!O44</f>
        <v>24.836003704771233</v>
      </c>
      <c r="F14" s="170">
        <f>'Seed, Fertilizer &amp; Chemicals'!O46</f>
        <v>56.4764247172139</v>
      </c>
      <c r="G14" s="171">
        <f>'Seed, Fertilizer &amp; Chemicals'!O47</f>
        <v>53.637821658356486</v>
      </c>
      <c r="H14" s="190">
        <f>'Seed, Fertilizer &amp; Chemicals'!O48</f>
        <v>64.20867401408819</v>
      </c>
      <c r="I14" s="208">
        <f>'Seed, Fertilizer &amp; Chemicals'!O50</f>
        <v>64.20867401408819</v>
      </c>
      <c r="J14" s="170">
        <f>'Seed, Fertilizer &amp; Chemicals'!O52</f>
        <v>56.4764247172139</v>
      </c>
      <c r="K14" s="190">
        <f>'Seed, Fertilizer &amp; Chemicals'!O53</f>
        <v>24.836003704771233</v>
      </c>
      <c r="L14" s="170">
        <f>'Seed, Fertilizer &amp; Chemicals'!O55</f>
        <v>56.4764247172139</v>
      </c>
      <c r="M14" s="190">
        <f>'Seed, Fertilizer &amp; Chemicals'!O56</f>
        <v>74.77952636981989</v>
      </c>
      <c r="N14" s="170">
        <f>'Seed, Fertilizer &amp; Chemicals'!O58</f>
        <v>56.4764247172139</v>
      </c>
      <c r="O14" s="190">
        <f>'Seed, Fertilizer &amp; Chemicals'!O59</f>
        <v>64.20867401408819</v>
      </c>
      <c r="P14" s="170">
        <f>'Seed, Fertilizer &amp; Chemicals'!O61</f>
        <v>43.06696930262478</v>
      </c>
      <c r="Q14" s="190">
        <f>'Seed, Fertilizer &amp; Chemicals'!O62</f>
        <v>24.836003704771233</v>
      </c>
      <c r="R14" s="170">
        <f>'Seed, Fertilizer &amp; Chemicals'!O64</f>
        <v>43.06696930262478</v>
      </c>
      <c r="S14" s="171">
        <f>'Seed, Fertilizer &amp; Chemicals'!O65</f>
        <v>64.60045395393718</v>
      </c>
      <c r="T14" s="190">
        <f>'Seed, Fertilizer &amp; Chemicals'!O66</f>
        <v>64.20867401408819</v>
      </c>
      <c r="U14" s="403"/>
      <c r="V14" s="80"/>
      <c r="CF14" s="452">
        <f>K53</f>
        <v>-117.09080477976289</v>
      </c>
    </row>
    <row r="15" spans="1:84" s="3" customFormat="1" ht="18">
      <c r="A15" s="72"/>
      <c r="B15" s="72" t="s">
        <v>63</v>
      </c>
      <c r="C15" s="170">
        <f>'Seed, Fertilizer &amp; Chemicals'!D78</f>
        <v>15.5</v>
      </c>
      <c r="D15" s="171">
        <f>'Seed, Fertilizer &amp; Chemicals'!D79</f>
        <v>15.5</v>
      </c>
      <c r="E15" s="190">
        <f>'Seed, Fertilizer &amp; Chemicals'!D80</f>
        <v>49</v>
      </c>
      <c r="F15" s="170">
        <f>'Seed, Fertilizer &amp; Chemicals'!D82</f>
        <v>13</v>
      </c>
      <c r="G15" s="171">
        <f>'Seed, Fertilizer &amp; Chemicals'!D83</f>
        <v>13</v>
      </c>
      <c r="H15" s="190">
        <f>'Seed, Fertilizer &amp; Chemicals'!D84</f>
        <v>10</v>
      </c>
      <c r="I15" s="208">
        <f>'Seed, Fertilizer &amp; Chemicals'!D86</f>
        <v>23</v>
      </c>
      <c r="J15" s="170">
        <f>'Seed, Fertilizer &amp; Chemicals'!D88</f>
        <v>20</v>
      </c>
      <c r="K15" s="190">
        <f>'Seed, Fertilizer &amp; Chemicals'!D89</f>
        <v>20</v>
      </c>
      <c r="L15" s="170">
        <f>'Seed, Fertilizer &amp; Chemicals'!D91</f>
        <v>28</v>
      </c>
      <c r="M15" s="190">
        <f>'Seed, Fertilizer &amp; Chemicals'!D92</f>
        <v>24</v>
      </c>
      <c r="N15" s="170">
        <f>'Seed, Fertilizer &amp; Chemicals'!M94</f>
        <v>0</v>
      </c>
      <c r="O15" s="190">
        <f>'Seed, Fertilizer &amp; Chemicals'!D95</f>
        <v>10</v>
      </c>
      <c r="P15" s="170">
        <f>'Seed, Fertilizer &amp; Chemicals'!D97</f>
        <v>23</v>
      </c>
      <c r="Q15" s="190">
        <f>'Seed, Fertilizer &amp; Chemicals'!D98</f>
        <v>20</v>
      </c>
      <c r="R15" s="170">
        <f>'Seed, Fertilizer &amp; Chemicals'!D100</f>
        <v>27</v>
      </c>
      <c r="S15" s="171">
        <f>'Seed, Fertilizer &amp; Chemicals'!D101</f>
        <v>27</v>
      </c>
      <c r="T15" s="190">
        <f>'Seed, Fertilizer &amp; Chemicals'!D102</f>
        <v>23</v>
      </c>
      <c r="U15" s="403"/>
      <c r="V15" s="80"/>
      <c r="CF15" s="452">
        <f>M53</f>
        <v>13.891269557410624</v>
      </c>
    </row>
    <row r="16" spans="1:84" s="3" customFormat="1" ht="18">
      <c r="A16" s="72"/>
      <c r="B16" s="72" t="s">
        <v>18</v>
      </c>
      <c r="C16" s="170">
        <f>'Seed, Fertilizer &amp; Chemicals'!F78</f>
        <v>0</v>
      </c>
      <c r="D16" s="171">
        <f>'Seed, Fertilizer &amp; Chemicals'!F79</f>
        <v>0</v>
      </c>
      <c r="E16" s="190">
        <f>'Seed, Fertilizer &amp; Chemicals'!F80</f>
        <v>36</v>
      </c>
      <c r="F16" s="170">
        <f>'Seed, Fertilizer &amp; Chemicals'!F82</f>
        <v>0</v>
      </c>
      <c r="G16" s="171">
        <f>'Seed, Fertilizer &amp; Chemicals'!F83</f>
        <v>0</v>
      </c>
      <c r="H16" s="190">
        <f>'Seed, Fertilizer &amp; Chemicals'!F84</f>
        <v>0</v>
      </c>
      <c r="I16" s="208">
        <f>'Seed, Fertilizer &amp; Chemicals'!F86</f>
        <v>0</v>
      </c>
      <c r="J16" s="170">
        <f>'Seed, Fertilizer &amp; Chemicals'!F88</f>
        <v>0</v>
      </c>
      <c r="K16" s="190">
        <f>'Seed, Fertilizer &amp; Chemicals'!F89</f>
        <v>0</v>
      </c>
      <c r="L16" s="170">
        <f>'Seed, Fertilizer &amp; Chemicals'!F91</f>
        <v>0</v>
      </c>
      <c r="M16" s="190">
        <f>'Seed, Fertilizer &amp; Chemicals'!F92</f>
        <v>17</v>
      </c>
      <c r="N16" s="170">
        <f>'Seed, Fertilizer &amp; Chemicals'!F94</f>
        <v>0</v>
      </c>
      <c r="O16" s="190">
        <f>'Seed, Fertilizer &amp; Chemicals'!F95</f>
        <v>0</v>
      </c>
      <c r="P16" s="170">
        <f>'Seed, Fertilizer &amp; Chemicals'!F97</f>
        <v>0</v>
      </c>
      <c r="Q16" s="190">
        <f>'Seed, Fertilizer &amp; Chemicals'!F98</f>
        <v>17</v>
      </c>
      <c r="R16" s="170">
        <f>'Seed, Fertilizer &amp; Chemicals'!F100</f>
        <v>0</v>
      </c>
      <c r="S16" s="171">
        <f>'Seed, Fertilizer &amp; Chemicals'!F101</f>
        <v>0</v>
      </c>
      <c r="T16" s="190">
        <f>'Seed, Fertilizer &amp; Chemicals'!F102</f>
        <v>17</v>
      </c>
      <c r="U16" s="403"/>
      <c r="V16" s="80"/>
      <c r="CF16" s="452">
        <f>O53</f>
        <v>95.84517125552742</v>
      </c>
    </row>
    <row r="17" spans="1:84" s="3" customFormat="1" ht="18">
      <c r="A17" s="72"/>
      <c r="B17" s="72" t="s">
        <v>17</v>
      </c>
      <c r="C17" s="170">
        <f>'Seed, Fertilizer &amp; Chemicals'!G78</f>
        <v>0</v>
      </c>
      <c r="D17" s="171">
        <f>'Seed, Fertilizer &amp; Chemicals'!G79</f>
        <v>0</v>
      </c>
      <c r="E17" s="190">
        <f>'Seed, Fertilizer &amp; Chemicals'!G80</f>
        <v>14</v>
      </c>
      <c r="F17" s="170">
        <f>'Seed, Fertilizer &amp; Chemicals'!G82</f>
        <v>0</v>
      </c>
      <c r="G17" s="171">
        <f>'Seed, Fertilizer &amp; Chemicals'!G83</f>
        <v>0</v>
      </c>
      <c r="H17" s="190">
        <f>'Seed, Fertilizer &amp; Chemicals'!G84</f>
        <v>3</v>
      </c>
      <c r="I17" s="208">
        <f>'Seed, Fertilizer &amp; Chemicals'!G86</f>
        <v>0</v>
      </c>
      <c r="J17" s="170">
        <f>'Seed, Fertilizer &amp; Chemicals'!G88</f>
        <v>0</v>
      </c>
      <c r="K17" s="190">
        <f>'Seed, Fertilizer &amp; Chemicals'!G89</f>
        <v>0</v>
      </c>
      <c r="L17" s="170">
        <f>'Seed, Fertilizer &amp; Chemicals'!G91</f>
        <v>0</v>
      </c>
      <c r="M17" s="190">
        <f>'Seed, Fertilizer &amp; Chemicals'!G92</f>
        <v>3</v>
      </c>
      <c r="N17" s="170">
        <f>'Seed, Fertilizer &amp; Chemicals'!G94</f>
        <v>0</v>
      </c>
      <c r="O17" s="190">
        <f>'Seed, Fertilizer &amp; Chemicals'!G95</f>
        <v>3</v>
      </c>
      <c r="P17" s="170">
        <f>'Seed, Fertilizer &amp; Chemicals'!G97</f>
        <v>0</v>
      </c>
      <c r="Q17" s="190">
        <f>'Seed, Fertilizer &amp; Chemicals'!G98</f>
        <v>14</v>
      </c>
      <c r="R17" s="170">
        <f>'Seed, Fertilizer &amp; Chemicals'!G100</f>
        <v>0</v>
      </c>
      <c r="S17" s="171">
        <f>'Seed, Fertilizer &amp; Chemicals'!G101</f>
        <v>0</v>
      </c>
      <c r="T17" s="190">
        <f>'Seed, Fertilizer &amp; Chemicals'!G102</f>
        <v>3</v>
      </c>
      <c r="U17" s="403"/>
      <c r="V17" s="80"/>
      <c r="CF17" s="452">
        <f>Q53</f>
        <v>73.78710036901703</v>
      </c>
    </row>
    <row r="18" spans="1:84" s="3" customFormat="1" ht="18">
      <c r="A18" s="72"/>
      <c r="B18" s="72" t="s">
        <v>177</v>
      </c>
      <c r="C18" s="170">
        <f>'Seed, Fertilizer &amp; Chemicals'!J78</f>
        <v>0</v>
      </c>
      <c r="D18" s="171">
        <f>'Seed, Fertilizer &amp; Chemicals'!J79</f>
        <v>0</v>
      </c>
      <c r="E18" s="190">
        <f>'Seed, Fertilizer &amp; Chemicals'!J80</f>
        <v>22</v>
      </c>
      <c r="F18" s="170">
        <f>'Seed, Fertilizer &amp; Chemicals'!J82</f>
        <v>0</v>
      </c>
      <c r="G18" s="171">
        <f>'Seed, Fertilizer &amp; Chemicals'!J83</f>
        <v>0</v>
      </c>
      <c r="H18" s="190">
        <f>'Seed, Fertilizer &amp; Chemicals'!J84</f>
        <v>0</v>
      </c>
      <c r="I18" s="208">
        <f>'Seed, Fertilizer &amp; Chemicals'!J86</f>
        <v>0</v>
      </c>
      <c r="J18" s="170">
        <f>'Seed, Fertilizer &amp; Chemicals'!J88</f>
        <v>0</v>
      </c>
      <c r="K18" s="190">
        <f>'Seed, Fertilizer &amp; Chemicals'!J89</f>
        <v>0</v>
      </c>
      <c r="L18" s="170">
        <f>'Seed, Fertilizer &amp; Chemicals'!J91</f>
        <v>0</v>
      </c>
      <c r="M18" s="190">
        <f>'Seed, Fertilizer &amp; Chemicals'!J92</f>
        <v>0</v>
      </c>
      <c r="N18" s="170">
        <f>'Seed, Fertilizer &amp; Chemicals'!J94</f>
        <v>0</v>
      </c>
      <c r="O18" s="190">
        <f>'Seed, Fertilizer &amp; Chemicals'!J95</f>
        <v>0</v>
      </c>
      <c r="P18" s="170">
        <f>'Seed, Fertilizer &amp; Chemicals'!J97</f>
        <v>0</v>
      </c>
      <c r="Q18" s="190">
        <f>'Seed, Fertilizer &amp; Chemicals'!J98</f>
        <v>0</v>
      </c>
      <c r="R18" s="170">
        <f>'Seed, Fertilizer &amp; Chemicals'!J100</f>
        <v>0</v>
      </c>
      <c r="S18" s="171">
        <f>'Seed, Fertilizer &amp; Chemicals'!J101</f>
        <v>0</v>
      </c>
      <c r="T18" s="190">
        <f>'Seed, Fertilizer &amp; Chemicals'!J102</f>
        <v>0</v>
      </c>
      <c r="U18" s="403"/>
      <c r="V18" s="80"/>
      <c r="CF18" s="452">
        <f>T53</f>
        <v>8.120000000000005</v>
      </c>
    </row>
    <row r="19" spans="1:22" s="3" customFormat="1" ht="18">
      <c r="A19" s="72"/>
      <c r="B19" s="72" t="s">
        <v>20</v>
      </c>
      <c r="C19" s="170">
        <f>'Op. Cost Input'!E13</f>
        <v>19.801864746666666</v>
      </c>
      <c r="D19" s="171">
        <f>'Op. Cost Input'!E14</f>
        <v>8.738</v>
      </c>
      <c r="E19" s="190">
        <f>'Op. Cost Input'!E15</f>
        <v>9.770008195555555</v>
      </c>
      <c r="F19" s="170">
        <f>'Op. Cost Input'!E17</f>
        <v>19.801864746666666</v>
      </c>
      <c r="G19" s="171">
        <f>'Op. Cost Input'!E18</f>
        <v>8.738</v>
      </c>
      <c r="H19" s="190">
        <f>'Op. Cost Input'!E19</f>
        <v>9.338116118518517</v>
      </c>
      <c r="I19" s="208">
        <f>'Op. Cost Input'!E21</f>
        <v>18.338224888888888</v>
      </c>
      <c r="J19" s="170">
        <f>'Op. Cost Input'!E23</f>
        <v>19.801864746666666</v>
      </c>
      <c r="K19" s="190">
        <f>'Op. Cost Input'!E24</f>
        <v>8.207365777777778</v>
      </c>
      <c r="L19" s="170">
        <f>'Op. Cost Input'!E26</f>
        <v>20.494311466666666</v>
      </c>
      <c r="M19" s="190">
        <f>'Op. Cost Input'!E27</f>
        <v>12.287426222222221</v>
      </c>
      <c r="N19" s="170">
        <f>'Op. Cost Input'!E29</f>
        <v>19.801864746666666</v>
      </c>
      <c r="O19" s="190">
        <f>'Op. Cost Input'!E30</f>
        <v>10.181823393939395</v>
      </c>
      <c r="P19" s="170">
        <f>'Op. Cost Input'!E32</f>
        <v>19.801864746666666</v>
      </c>
      <c r="Q19" s="190">
        <f>'Op. Cost Input'!E33</f>
        <v>9.182192622222221</v>
      </c>
      <c r="R19" s="170">
        <f>'Op. Cost Input'!E35</f>
        <v>19.801864746666666</v>
      </c>
      <c r="S19" s="171">
        <f>'Op. Cost Input'!E36</f>
        <v>8.738</v>
      </c>
      <c r="T19" s="190">
        <f>'Op. Cost Input'!E37</f>
        <v>11.5457336</v>
      </c>
      <c r="U19" s="403"/>
      <c r="V19" s="80"/>
    </row>
    <row r="20" spans="1:22" s="454" customFormat="1" ht="18">
      <c r="A20" s="42"/>
      <c r="B20" s="42" t="s">
        <v>28</v>
      </c>
      <c r="C20" s="170">
        <f>'Op. Cost Input'!$E$6</f>
        <v>10</v>
      </c>
      <c r="D20" s="171">
        <f>'Op. Cost Input'!$E$6</f>
        <v>10</v>
      </c>
      <c r="E20" s="190">
        <f>'Op. Cost Input'!$E$6</f>
        <v>10</v>
      </c>
      <c r="F20" s="170">
        <f>'Op. Cost Input'!$E$6</f>
        <v>10</v>
      </c>
      <c r="G20" s="171">
        <f>'Op. Cost Input'!$E$6</f>
        <v>10</v>
      </c>
      <c r="H20" s="190">
        <f>'Op. Cost Input'!$E$6</f>
        <v>10</v>
      </c>
      <c r="I20" s="208">
        <f>'Op. Cost Input'!$E$6</f>
        <v>10</v>
      </c>
      <c r="J20" s="170">
        <f>'Op. Cost Input'!$E$6</f>
        <v>10</v>
      </c>
      <c r="K20" s="190">
        <f>'Op. Cost Input'!$E$6</f>
        <v>10</v>
      </c>
      <c r="L20" s="170">
        <f>'Op. Cost Input'!$E$6</f>
        <v>10</v>
      </c>
      <c r="M20" s="190">
        <f>'Op. Cost Input'!$E$6</f>
        <v>10</v>
      </c>
      <c r="N20" s="170">
        <f>'Op. Cost Input'!$E$6</f>
        <v>10</v>
      </c>
      <c r="O20" s="190">
        <f>'Op. Cost Input'!$E$6</f>
        <v>10</v>
      </c>
      <c r="P20" s="170">
        <f>'Op. Cost Input'!$E$6</f>
        <v>10</v>
      </c>
      <c r="Q20" s="190">
        <f>'Op. Cost Input'!$E$6</f>
        <v>10</v>
      </c>
      <c r="R20" s="170">
        <f>'Op. Cost Input'!$E$6</f>
        <v>10</v>
      </c>
      <c r="S20" s="171">
        <f>'Op. Cost Input'!$E$6</f>
        <v>10</v>
      </c>
      <c r="T20" s="190">
        <f>'Op. Cost Input'!$E$6</f>
        <v>10</v>
      </c>
      <c r="U20" s="403"/>
      <c r="V20" s="453"/>
    </row>
    <row r="21" spans="1:22" s="454" customFormat="1" ht="18">
      <c r="A21" s="42"/>
      <c r="B21" s="42" t="s">
        <v>319</v>
      </c>
      <c r="C21" s="170">
        <f>'Fixed Cost Input'!$I$8</f>
        <v>3.6</v>
      </c>
      <c r="D21" s="171">
        <f>'Fixed Cost Input'!$I$8</f>
        <v>3.6</v>
      </c>
      <c r="E21" s="190">
        <f>'Fixed Cost Input'!$I$8</f>
        <v>3.6</v>
      </c>
      <c r="F21" s="170">
        <f>'Fixed Cost Input'!$I$8</f>
        <v>3.6</v>
      </c>
      <c r="G21" s="171">
        <f>'Fixed Cost Input'!$I$8</f>
        <v>3.6</v>
      </c>
      <c r="H21" s="190">
        <f>'Fixed Cost Input'!$I$8</f>
        <v>3.6</v>
      </c>
      <c r="I21" s="208">
        <f>'Fixed Cost Input'!$I$8</f>
        <v>3.6</v>
      </c>
      <c r="J21" s="170">
        <f>'Fixed Cost Input'!$I$8</f>
        <v>3.6</v>
      </c>
      <c r="K21" s="190">
        <f>'Fixed Cost Input'!$I$8</f>
        <v>3.6</v>
      </c>
      <c r="L21" s="170">
        <f>'Fixed Cost Input'!$I$8</f>
        <v>3.6</v>
      </c>
      <c r="M21" s="190">
        <f>'Fixed Cost Input'!$I$8</f>
        <v>3.6</v>
      </c>
      <c r="N21" s="170">
        <f>'Fixed Cost Input'!$I$8</f>
        <v>3.6</v>
      </c>
      <c r="O21" s="190">
        <f>'Fixed Cost Input'!$I$8</f>
        <v>3.6</v>
      </c>
      <c r="P21" s="170">
        <f>'Fixed Cost Input'!$I$8</f>
        <v>3.6</v>
      </c>
      <c r="Q21" s="190">
        <f>'Fixed Cost Input'!$I$8</f>
        <v>3.6</v>
      </c>
      <c r="R21" s="170">
        <f>'Fixed Cost Input'!$I$8</f>
        <v>3.6</v>
      </c>
      <c r="S21" s="171">
        <f>'Fixed Cost Input'!$I$8</f>
        <v>3.6</v>
      </c>
      <c r="T21" s="190">
        <f>'Fixed Cost Input'!$I$8</f>
        <v>3.6</v>
      </c>
      <c r="U21" s="403"/>
      <c r="V21" s="453"/>
    </row>
    <row r="22" spans="1:22" s="454" customFormat="1" ht="18">
      <c r="A22" s="42"/>
      <c r="B22" s="42" t="s">
        <v>320</v>
      </c>
      <c r="C22" s="170">
        <f>'Op. Cost Input'!N13</f>
        <v>0</v>
      </c>
      <c r="D22" s="171">
        <f>'Op. Cost Input'!N14</f>
        <v>0</v>
      </c>
      <c r="E22" s="190">
        <f>'Op. Cost Input'!N15</f>
        <v>157.5</v>
      </c>
      <c r="F22" s="170">
        <f>'Op. Cost Input'!N17</f>
        <v>0</v>
      </c>
      <c r="G22" s="171">
        <f>'Op. Cost Input'!N18</f>
        <v>0</v>
      </c>
      <c r="H22" s="190">
        <f>'Op. Cost Input'!N19</f>
        <v>7.5</v>
      </c>
      <c r="I22" s="208">
        <f>'Op. Cost Input'!N21</f>
        <v>7.5</v>
      </c>
      <c r="J22" s="170">
        <f>'Op. Cost Input'!N23</f>
        <v>0</v>
      </c>
      <c r="K22" s="190">
        <f>'Op. Cost Input'!N24</f>
        <v>7.5</v>
      </c>
      <c r="L22" s="170">
        <f>'Op. Cost Input'!N26</f>
        <v>0</v>
      </c>
      <c r="M22" s="190">
        <f>'Op. Cost Input'!N27</f>
        <v>7.5</v>
      </c>
      <c r="N22" s="170">
        <f>'Op. Cost Input'!N29</f>
        <v>0</v>
      </c>
      <c r="O22" s="190">
        <f>'Op. Cost Input'!N30</f>
        <v>7.5</v>
      </c>
      <c r="P22" s="170">
        <f>'Op. Cost Input'!N32</f>
        <v>0</v>
      </c>
      <c r="Q22" s="190">
        <f>'Op. Cost Input'!N33</f>
        <v>7.5</v>
      </c>
      <c r="R22" s="170">
        <f>'Op. Cost Input'!N35</f>
        <v>0</v>
      </c>
      <c r="S22" s="171">
        <f>'Op. Cost Input'!N36</f>
        <v>0</v>
      </c>
      <c r="T22" s="190">
        <f>'Op. Cost Input'!N37</f>
        <v>7.5</v>
      </c>
      <c r="U22" s="403"/>
      <c r="V22" s="453"/>
    </row>
    <row r="23" spans="1:22" s="454" customFormat="1" ht="18">
      <c r="A23" s="42"/>
      <c r="B23" s="42" t="s">
        <v>29</v>
      </c>
      <c r="C23" s="170">
        <f>'Op. Cost Input'!F13+'Op. Cost Input'!F14</f>
        <v>16.99</v>
      </c>
      <c r="D23" s="171">
        <f>'Op. Cost Input'!F14</f>
        <v>5.8</v>
      </c>
      <c r="E23" s="190">
        <f>'Op. Cost Input'!F15</f>
        <v>45.93</v>
      </c>
      <c r="F23" s="170">
        <f>'Op. Cost Input'!F17+'Op. Cost Input'!F18</f>
        <v>16.99</v>
      </c>
      <c r="G23" s="171">
        <f>'Op. Cost Input'!F18</f>
        <v>5.8</v>
      </c>
      <c r="H23" s="190">
        <f>'Op. Cost Input'!F19</f>
        <v>14.34</v>
      </c>
      <c r="I23" s="208">
        <f>'Op. Cost Input'!F21</f>
        <v>12.13</v>
      </c>
      <c r="J23" s="170">
        <f>'Op. Cost Input'!F23</f>
        <v>11.19</v>
      </c>
      <c r="K23" s="190">
        <f>'Op. Cost Input'!F24</f>
        <v>0</v>
      </c>
      <c r="L23" s="170">
        <f>'Op. Cost Input'!F26</f>
        <v>16.99</v>
      </c>
      <c r="M23" s="190">
        <f>'Op. Cost Input'!F27</f>
        <v>19.61</v>
      </c>
      <c r="N23" s="170">
        <f>'Op. Cost Input'!F29</f>
        <v>11.19</v>
      </c>
      <c r="O23" s="190">
        <f>'Op. Cost Input'!F30</f>
        <v>0</v>
      </c>
      <c r="P23" s="170">
        <f>'Op. Cost Input'!F32</f>
        <v>11.19</v>
      </c>
      <c r="Q23" s="190">
        <f>'Op. Cost Input'!F33</f>
        <v>0</v>
      </c>
      <c r="R23" s="170">
        <f>'Op. Cost Input'!F35+'Op. Cost Input'!F36</f>
        <v>16.99</v>
      </c>
      <c r="S23" s="171">
        <f>'Op. Cost Input'!F36</f>
        <v>5.8</v>
      </c>
      <c r="T23" s="190">
        <f>'Op. Cost Input'!F37</f>
        <v>22.86</v>
      </c>
      <c r="U23" s="403"/>
      <c r="V23" s="453"/>
    </row>
    <row r="24" spans="1:22" s="454" customFormat="1" ht="18">
      <c r="A24" s="42"/>
      <c r="B24" s="42" t="s">
        <v>205</v>
      </c>
      <c r="C24" s="460" t="s">
        <v>269</v>
      </c>
      <c r="D24" s="405" t="s">
        <v>269</v>
      </c>
      <c r="E24" s="190">
        <f>Production!$E$35</f>
        <v>3.5662499999999993</v>
      </c>
      <c r="F24" s="460" t="s">
        <v>269</v>
      </c>
      <c r="G24" s="405" t="s">
        <v>269</v>
      </c>
      <c r="H24" s="190">
        <f>Production!$E$35</f>
        <v>3.5662499999999993</v>
      </c>
      <c r="I24" s="208">
        <f>Production!$E$35</f>
        <v>3.5662499999999993</v>
      </c>
      <c r="J24" s="460" t="s">
        <v>269</v>
      </c>
      <c r="K24" s="190">
        <f>Production!$E$35</f>
        <v>3.5662499999999993</v>
      </c>
      <c r="L24" s="460" t="s">
        <v>269</v>
      </c>
      <c r="M24" s="190">
        <f>Production!$E$35</f>
        <v>3.5662499999999993</v>
      </c>
      <c r="N24" s="460" t="s">
        <v>269</v>
      </c>
      <c r="O24" s="190">
        <f>Production!$E$35</f>
        <v>3.5662499999999993</v>
      </c>
      <c r="P24" s="460" t="s">
        <v>269</v>
      </c>
      <c r="Q24" s="190">
        <f>Production!$E$35</f>
        <v>3.5662499999999993</v>
      </c>
      <c r="R24" s="460" t="s">
        <v>269</v>
      </c>
      <c r="S24" s="405" t="s">
        <v>269</v>
      </c>
      <c r="T24" s="190">
        <f>Production!$E$35</f>
        <v>3.5662499999999993</v>
      </c>
      <c r="U24" s="403"/>
      <c r="V24" s="453"/>
    </row>
    <row r="25" spans="1:22" s="454" customFormat="1" ht="18">
      <c r="A25" s="42"/>
      <c r="B25" s="42" t="s">
        <v>30</v>
      </c>
      <c r="C25" s="170">
        <f>'Op. Cost Input'!$E$7</f>
        <v>7.75</v>
      </c>
      <c r="D25" s="171">
        <f>'Op. Cost Input'!$E$7</f>
        <v>7.75</v>
      </c>
      <c r="E25" s="190">
        <f>'Op. Cost Input'!$E$7</f>
        <v>7.75</v>
      </c>
      <c r="F25" s="170">
        <f>'Op. Cost Input'!$E$7</f>
        <v>7.75</v>
      </c>
      <c r="G25" s="171">
        <f>'Op. Cost Input'!$E$7</f>
        <v>7.75</v>
      </c>
      <c r="H25" s="190">
        <f>'Op. Cost Input'!$E$7</f>
        <v>7.75</v>
      </c>
      <c r="I25" s="208">
        <f>'Op. Cost Input'!$E$7</f>
        <v>7.75</v>
      </c>
      <c r="J25" s="170">
        <f>'Op. Cost Input'!$E$7</f>
        <v>7.75</v>
      </c>
      <c r="K25" s="190">
        <f>'Op. Cost Input'!$E$7</f>
        <v>7.75</v>
      </c>
      <c r="L25" s="170">
        <f>'Op. Cost Input'!$E$7</f>
        <v>7.75</v>
      </c>
      <c r="M25" s="190">
        <f>'Op. Cost Input'!$E$7</f>
        <v>7.75</v>
      </c>
      <c r="N25" s="170">
        <f>'Op. Cost Input'!$E$7</f>
        <v>7.75</v>
      </c>
      <c r="O25" s="190">
        <f>'Op. Cost Input'!$E$7</f>
        <v>7.75</v>
      </c>
      <c r="P25" s="170">
        <f>'Op. Cost Input'!$E$7</f>
        <v>7.75</v>
      </c>
      <c r="Q25" s="190">
        <f>'Op. Cost Input'!$E$7</f>
        <v>7.75</v>
      </c>
      <c r="R25" s="170">
        <f>'Op. Cost Input'!$E$7</f>
        <v>7.75</v>
      </c>
      <c r="S25" s="171">
        <f>'Op. Cost Input'!$E$7</f>
        <v>7.75</v>
      </c>
      <c r="T25" s="190">
        <f>'Op. Cost Input'!$E$7</f>
        <v>7.75</v>
      </c>
      <c r="U25" s="403"/>
      <c r="V25" s="453"/>
    </row>
    <row r="26" spans="1:22" s="454" customFormat="1" ht="18">
      <c r="A26" s="42"/>
      <c r="B26" s="42" t="s">
        <v>31</v>
      </c>
      <c r="C26" s="170">
        <f>'Op. Cost Input'!$E$4</f>
        <v>12</v>
      </c>
      <c r="D26" s="171">
        <f>'Op. Cost Input'!$E$4</f>
        <v>12</v>
      </c>
      <c r="E26" s="190">
        <f>'Op. Cost Input'!$E$4</f>
        <v>12</v>
      </c>
      <c r="F26" s="170">
        <f>'Op. Cost Input'!$E$4</f>
        <v>12</v>
      </c>
      <c r="G26" s="171">
        <f>'Op. Cost Input'!$E$4</f>
        <v>12</v>
      </c>
      <c r="H26" s="190">
        <f>'Op. Cost Input'!$E$4</f>
        <v>12</v>
      </c>
      <c r="I26" s="208">
        <f>'Op. Cost Input'!$E$4</f>
        <v>12</v>
      </c>
      <c r="J26" s="170">
        <f>'Op. Cost Input'!$E$4</f>
        <v>12</v>
      </c>
      <c r="K26" s="190">
        <f>'Op. Cost Input'!$E$4</f>
        <v>12</v>
      </c>
      <c r="L26" s="170">
        <f>'Op. Cost Input'!$E$4</f>
        <v>12</v>
      </c>
      <c r="M26" s="190">
        <f>'Op. Cost Input'!$E$4</f>
        <v>12</v>
      </c>
      <c r="N26" s="170">
        <f>'Op. Cost Input'!$E$4</f>
        <v>12</v>
      </c>
      <c r="O26" s="190">
        <f>'Op. Cost Input'!$E$4</f>
        <v>12</v>
      </c>
      <c r="P26" s="170">
        <f>'Op. Cost Input'!$E$4</f>
        <v>12</v>
      </c>
      <c r="Q26" s="190">
        <f>'Op. Cost Input'!$E$4</f>
        <v>12</v>
      </c>
      <c r="R26" s="170">
        <f>'Op. Cost Input'!$E$4</f>
        <v>12</v>
      </c>
      <c r="S26" s="171">
        <f>'Op. Cost Input'!$E$4</f>
        <v>12</v>
      </c>
      <c r="T26" s="190">
        <f>'Op. Cost Input'!$E$4</f>
        <v>12</v>
      </c>
      <c r="U26" s="403"/>
      <c r="V26" s="453"/>
    </row>
    <row r="27" spans="1:22" s="454" customFormat="1" ht="18">
      <c r="A27" s="42"/>
      <c r="B27" s="42" t="s">
        <v>42</v>
      </c>
      <c r="C27" s="428" t="str">
        <f>'Op. Cost Input'!$G13</f>
        <v>-</v>
      </c>
      <c r="D27" s="455" t="str">
        <f>'Op. Cost Input'!$G14</f>
        <v>-</v>
      </c>
      <c r="E27" s="461" t="str">
        <f>'Op. Cost Input'!$G15</f>
        <v>-</v>
      </c>
      <c r="F27" s="428" t="str">
        <f>'Op. Cost Input'!$G17</f>
        <v>-</v>
      </c>
      <c r="G27" s="455" t="str">
        <f>'Op. Cost Input'!$G18</f>
        <v>-</v>
      </c>
      <c r="H27" s="461" t="str">
        <f>'Op. Cost Input'!$G19</f>
        <v>-</v>
      </c>
      <c r="I27" s="468">
        <f>'Op. Cost Input'!$G21</f>
        <v>5</v>
      </c>
      <c r="J27" s="428" t="str">
        <f>'Op. Cost Input'!$G23</f>
        <v>-</v>
      </c>
      <c r="K27" s="461" t="str">
        <f>'Op. Cost Input'!$G24</f>
        <v>-</v>
      </c>
      <c r="L27" s="428" t="str">
        <f>'Op. Cost Input'!$G26</f>
        <v>-</v>
      </c>
      <c r="M27" s="461" t="str">
        <f>'Op. Cost Input'!$G27</f>
        <v>-</v>
      </c>
      <c r="N27" s="428" t="str">
        <f>'Op. Cost Input'!$G29</f>
        <v>-</v>
      </c>
      <c r="O27" s="461" t="str">
        <f>'Op. Cost Input'!$G30</f>
        <v>-</v>
      </c>
      <c r="P27" s="428" t="str">
        <f>'Op. Cost Input'!$G32</f>
        <v>-</v>
      </c>
      <c r="Q27" s="461" t="str">
        <f>'Op. Cost Input'!$G33</f>
        <v>-</v>
      </c>
      <c r="R27" s="428" t="str">
        <f>'Op. Cost Input'!$G35</f>
        <v>-</v>
      </c>
      <c r="S27" s="455" t="str">
        <f>'Op. Cost Input'!$G36</f>
        <v>-</v>
      </c>
      <c r="T27" s="461" t="str">
        <f>'Op. Cost Input'!$G37</f>
        <v>-</v>
      </c>
      <c r="U27" s="403"/>
      <c r="V27" s="453"/>
    </row>
    <row r="28" spans="1:22" s="454" customFormat="1" ht="18">
      <c r="A28" s="42"/>
      <c r="B28" s="42" t="s">
        <v>32</v>
      </c>
      <c r="C28" s="191">
        <f>ROUND(SUM(C11:C27)/2*('Op. Cost Input'!$E$3),2)</f>
        <v>4.66</v>
      </c>
      <c r="D28" s="77">
        <f>ROUND(SUM(D11:D27)/2*('Op. Cost Input'!$E$3),2)</f>
        <v>2.58</v>
      </c>
      <c r="E28" s="192">
        <f>ROUND(SUM(E11:E27)/2*('Op. Cost Input'!$E$3),2)</f>
        <v>11.56</v>
      </c>
      <c r="F28" s="191">
        <f>ROUND(SUM(F11:F27)/2*('Op. Cost Input'!$E$3),2)</f>
        <v>4.42</v>
      </c>
      <c r="G28" s="77">
        <f>ROUND(SUM(G11:G27)/2*('Op. Cost Input'!$E$3),2)</f>
        <v>3.42</v>
      </c>
      <c r="H28" s="192">
        <f>ROUND(SUM(H11:H27)/2*('Op. Cost Input'!$E$3),2)</f>
        <v>4.6</v>
      </c>
      <c r="I28" s="210">
        <f>ROUND(SUM(I11:I27)/2*('Op. Cost Input'!$E$3),2)</f>
        <v>5.21</v>
      </c>
      <c r="J28" s="191">
        <f>ROUND(SUM(J11:J27)/2*('Op. Cost Input'!$E$3),2)</f>
        <v>4.73</v>
      </c>
      <c r="K28" s="192">
        <f>ROUND(SUM(K11:K27)/2*('Op. Cost Input'!$E$3),2)</f>
        <v>5.41</v>
      </c>
      <c r="L28" s="191">
        <f>ROUND(SUM(L11:L27)/2*('Op. Cost Input'!$E$3),2)</f>
        <v>5.22</v>
      </c>
      <c r="M28" s="192">
        <f>ROUND(SUM(M11:M27)/2*('Op. Cost Input'!$E$3),2)</f>
        <v>7.56</v>
      </c>
      <c r="N28" s="191">
        <f>ROUND(SUM(N11:N27)/2*('Op. Cost Input'!$E$3),2)</f>
        <v>4.18</v>
      </c>
      <c r="O28" s="192">
        <f>ROUND(SUM(O11:O27)/2*('Op. Cost Input'!$E$3),2)</f>
        <v>4.35</v>
      </c>
      <c r="P28" s="191">
        <f>ROUND(SUM(P11:P27)/2*('Op. Cost Input'!$E$3),2)</f>
        <v>4.51</v>
      </c>
      <c r="Q28" s="192">
        <f>ROUND(SUM(Q11:Q27)/2*('Op. Cost Input'!$E$3),2)</f>
        <v>4.19</v>
      </c>
      <c r="R28" s="191">
        <f>ROUND(SUM(R11:R27)/2*('Op. Cost Input'!$E$3),2)</f>
        <v>4.6</v>
      </c>
      <c r="S28" s="77">
        <f>ROUND(SUM(S11:S27)/2*('Op. Cost Input'!$E$3),2)</f>
        <v>4.28</v>
      </c>
      <c r="T28" s="192">
        <f>ROUND(SUM(T11:T27)/2*('Op. Cost Input'!$E$3),2)</f>
        <v>5.98</v>
      </c>
      <c r="U28" s="403"/>
      <c r="V28" s="453"/>
    </row>
    <row r="29" spans="1:22" s="454" customFormat="1" ht="18">
      <c r="A29" s="42"/>
      <c r="B29" s="103" t="s">
        <v>43</v>
      </c>
      <c r="C29" s="159">
        <f aca="true" t="shared" si="0" ref="C29:T29">SUM(C11:C28)</f>
        <v>174.116892522738</v>
      </c>
      <c r="D29" s="160">
        <f t="shared" si="0"/>
        <v>96.49961835314448</v>
      </c>
      <c r="E29" s="193">
        <f t="shared" si="0"/>
        <v>431.7545006560113</v>
      </c>
      <c r="F29" s="159">
        <f t="shared" si="0"/>
        <v>165.03828946388055</v>
      </c>
      <c r="G29" s="160">
        <f t="shared" si="0"/>
        <v>127.94582165835648</v>
      </c>
      <c r="H29" s="193">
        <f t="shared" si="0"/>
        <v>171.87562812357683</v>
      </c>
      <c r="I29" s="209">
        <f t="shared" si="0"/>
        <v>194.70314890297706</v>
      </c>
      <c r="J29" s="159">
        <f t="shared" si="0"/>
        <v>176.54828946388056</v>
      </c>
      <c r="K29" s="193">
        <f t="shared" si="0"/>
        <v>202.26997144642954</v>
      </c>
      <c r="L29" s="159">
        <f t="shared" si="0"/>
        <v>195.03073618388058</v>
      </c>
      <c r="M29" s="193">
        <f t="shared" si="0"/>
        <v>282.3467512759227</v>
      </c>
      <c r="N29" s="159">
        <f t="shared" si="0"/>
        <v>155.99828946388058</v>
      </c>
      <c r="O29" s="193">
        <f t="shared" si="0"/>
        <v>162.44019806265442</v>
      </c>
      <c r="P29" s="159">
        <f t="shared" si="0"/>
        <v>168.66883404929143</v>
      </c>
      <c r="Q29" s="193">
        <f t="shared" si="0"/>
        <v>156.5046704643163</v>
      </c>
      <c r="R29" s="159">
        <f t="shared" si="0"/>
        <v>171.80883404929145</v>
      </c>
      <c r="S29" s="160">
        <f t="shared" si="0"/>
        <v>159.76845395393718</v>
      </c>
      <c r="T29" s="193">
        <f t="shared" si="0"/>
        <v>223.56428979718532</v>
      </c>
      <c r="U29" s="473">
        <f>IF(SUM(U11:U28)=0,"",SUM(U11:U28))</f>
      </c>
      <c r="V29" s="453"/>
    </row>
    <row r="30" spans="1:22" s="454" customFormat="1" ht="18">
      <c r="A30" s="42"/>
      <c r="B30" s="42"/>
      <c r="C30" s="170" t="s">
        <v>23</v>
      </c>
      <c r="D30" s="171"/>
      <c r="E30" s="196"/>
      <c r="F30" s="170" t="s">
        <v>23</v>
      </c>
      <c r="G30" s="171" t="s">
        <v>23</v>
      </c>
      <c r="H30" s="190" t="s">
        <v>23</v>
      </c>
      <c r="I30" s="208" t="s">
        <v>23</v>
      </c>
      <c r="J30" s="170" t="s">
        <v>23</v>
      </c>
      <c r="K30" s="190" t="s">
        <v>23</v>
      </c>
      <c r="L30" s="170" t="s">
        <v>23</v>
      </c>
      <c r="M30" s="190"/>
      <c r="N30" s="170" t="s">
        <v>23</v>
      </c>
      <c r="O30" s="190" t="s">
        <v>23</v>
      </c>
      <c r="P30" s="170" t="s">
        <v>23</v>
      </c>
      <c r="Q30" s="190" t="s">
        <v>23</v>
      </c>
      <c r="R30" s="170" t="s">
        <v>23</v>
      </c>
      <c r="S30" s="171" t="s">
        <v>23</v>
      </c>
      <c r="T30" s="190"/>
      <c r="U30" s="171"/>
      <c r="V30" s="453"/>
    </row>
    <row r="31" spans="1:22" s="454" customFormat="1" ht="18">
      <c r="A31" s="103" t="s">
        <v>33</v>
      </c>
      <c r="B31" s="453"/>
      <c r="C31" s="170" t="s">
        <v>23</v>
      </c>
      <c r="D31" s="171"/>
      <c r="E31" s="190" t="s">
        <v>23</v>
      </c>
      <c r="F31" s="170" t="s">
        <v>23</v>
      </c>
      <c r="G31" s="171" t="s">
        <v>23</v>
      </c>
      <c r="H31" s="190" t="s">
        <v>23</v>
      </c>
      <c r="I31" s="208" t="s">
        <v>23</v>
      </c>
      <c r="J31" s="170" t="s">
        <v>23</v>
      </c>
      <c r="K31" s="190" t="s">
        <v>23</v>
      </c>
      <c r="L31" s="170" t="s">
        <v>23</v>
      </c>
      <c r="M31" s="190"/>
      <c r="N31" s="170" t="s">
        <v>23</v>
      </c>
      <c r="O31" s="190" t="s">
        <v>23</v>
      </c>
      <c r="P31" s="170" t="s">
        <v>23</v>
      </c>
      <c r="Q31" s="190" t="s">
        <v>23</v>
      </c>
      <c r="R31" s="170" t="s">
        <v>23</v>
      </c>
      <c r="S31" s="171" t="s">
        <v>23</v>
      </c>
      <c r="T31" s="190"/>
      <c r="U31" s="171"/>
      <c r="V31" s="453"/>
    </row>
    <row r="32" spans="1:22" s="454" customFormat="1" ht="18">
      <c r="A32" s="42"/>
      <c r="B32" s="42" t="s">
        <v>34</v>
      </c>
      <c r="C32" s="170">
        <f>'Fixed Cost Input'!$I$3</f>
        <v>53.75</v>
      </c>
      <c r="D32" s="171">
        <f>'Fixed Cost Input'!$I$3</f>
        <v>53.75</v>
      </c>
      <c r="E32" s="190">
        <f>'Fixed Cost Input'!$I$3</f>
        <v>53.75</v>
      </c>
      <c r="F32" s="170">
        <f>'Fixed Cost Input'!$I$3</f>
        <v>53.75</v>
      </c>
      <c r="G32" s="171">
        <f>'Fixed Cost Input'!$I$3</f>
        <v>53.75</v>
      </c>
      <c r="H32" s="190">
        <f>'Fixed Cost Input'!$I$3</f>
        <v>53.75</v>
      </c>
      <c r="I32" s="208">
        <f>'Fixed Cost Input'!$I$3</f>
        <v>53.75</v>
      </c>
      <c r="J32" s="170">
        <f>'Fixed Cost Input'!$I$3</f>
        <v>53.75</v>
      </c>
      <c r="K32" s="190">
        <f>'Fixed Cost Input'!$I$3</f>
        <v>53.75</v>
      </c>
      <c r="L32" s="170">
        <f>'Fixed Cost Input'!$I$3</f>
        <v>53.75</v>
      </c>
      <c r="M32" s="190">
        <f>'Fixed Cost Input'!$I$3</f>
        <v>53.75</v>
      </c>
      <c r="N32" s="170">
        <f>'Fixed Cost Input'!$I$3</f>
        <v>53.75</v>
      </c>
      <c r="O32" s="190">
        <f>'Fixed Cost Input'!$I$3</f>
        <v>53.75</v>
      </c>
      <c r="P32" s="170">
        <f>'Fixed Cost Input'!$I$3</f>
        <v>53.75</v>
      </c>
      <c r="Q32" s="190">
        <f>'Fixed Cost Input'!$I$3</f>
        <v>53.75</v>
      </c>
      <c r="R32" s="170">
        <f>'Fixed Cost Input'!$I$3</f>
        <v>53.75</v>
      </c>
      <c r="S32" s="171">
        <f>'Fixed Cost Input'!$I$3</f>
        <v>53.75</v>
      </c>
      <c r="T32" s="190">
        <f>'Fixed Cost Input'!$I$3</f>
        <v>53.75</v>
      </c>
      <c r="U32" s="403"/>
      <c r="V32" s="453"/>
    </row>
    <row r="33" spans="1:22" s="454" customFormat="1" ht="18">
      <c r="A33" s="42"/>
      <c r="B33" s="42" t="s">
        <v>35</v>
      </c>
      <c r="C33" s="170">
        <f>'Fixed Cost Input'!$I$6</f>
        <v>44.40625</v>
      </c>
      <c r="D33" s="171">
        <f>'Fixed Cost Input'!$I$6</f>
        <v>44.40625</v>
      </c>
      <c r="E33" s="190">
        <f>'Fixed Cost Input'!$I$6</f>
        <v>44.40625</v>
      </c>
      <c r="F33" s="170">
        <f>'Fixed Cost Input'!$I$6</f>
        <v>44.40625</v>
      </c>
      <c r="G33" s="171">
        <f>'Fixed Cost Input'!$I$6</f>
        <v>44.40625</v>
      </c>
      <c r="H33" s="190">
        <f>'Fixed Cost Input'!$I$6</f>
        <v>44.40625</v>
      </c>
      <c r="I33" s="208">
        <f>'Fixed Cost Input'!$I$6</f>
        <v>44.40625</v>
      </c>
      <c r="J33" s="170">
        <f>'Fixed Cost Input'!$I$6</f>
        <v>44.40625</v>
      </c>
      <c r="K33" s="190">
        <f>'Fixed Cost Input'!$I$6</f>
        <v>44.40625</v>
      </c>
      <c r="L33" s="170">
        <f>'Fixed Cost Input'!$I$6</f>
        <v>44.40625</v>
      </c>
      <c r="M33" s="190">
        <f>'Fixed Cost Input'!$I$6</f>
        <v>44.40625</v>
      </c>
      <c r="N33" s="170">
        <f>'Fixed Cost Input'!$I$6</f>
        <v>44.40625</v>
      </c>
      <c r="O33" s="190">
        <f>'Fixed Cost Input'!$I$6</f>
        <v>44.40625</v>
      </c>
      <c r="P33" s="170">
        <f>'Fixed Cost Input'!$I$6</f>
        <v>44.40625</v>
      </c>
      <c r="Q33" s="190">
        <f>'Fixed Cost Input'!$I$6</f>
        <v>44.40625</v>
      </c>
      <c r="R33" s="170">
        <f>'Fixed Cost Input'!$I$6</f>
        <v>44.40625</v>
      </c>
      <c r="S33" s="171">
        <f>'Fixed Cost Input'!$I$6</f>
        <v>44.40625</v>
      </c>
      <c r="T33" s="190">
        <f>'Fixed Cost Input'!$I$6</f>
        <v>44.40625</v>
      </c>
      <c r="U33" s="403"/>
      <c r="V33" s="453"/>
    </row>
    <row r="34" spans="1:22" s="454" customFormat="1" ht="18">
      <c r="A34" s="42"/>
      <c r="B34" s="42" t="s">
        <v>36</v>
      </c>
      <c r="C34" s="170">
        <f>'Fixed Cost Input'!$I$7</f>
        <v>11.1015625</v>
      </c>
      <c r="D34" s="171">
        <f>'Fixed Cost Input'!$I$7</f>
        <v>11.1015625</v>
      </c>
      <c r="E34" s="190">
        <f>'Fixed Cost Input'!$I$7</f>
        <v>11.1015625</v>
      </c>
      <c r="F34" s="170">
        <f>'Fixed Cost Input'!$I$7</f>
        <v>11.1015625</v>
      </c>
      <c r="G34" s="171">
        <f>'Fixed Cost Input'!$I$7</f>
        <v>11.1015625</v>
      </c>
      <c r="H34" s="190">
        <f>'Fixed Cost Input'!$I$7</f>
        <v>11.1015625</v>
      </c>
      <c r="I34" s="208">
        <f>'Fixed Cost Input'!$I$7</f>
        <v>11.1015625</v>
      </c>
      <c r="J34" s="170">
        <f>'Fixed Cost Input'!$I$7</f>
        <v>11.1015625</v>
      </c>
      <c r="K34" s="190">
        <f>'Fixed Cost Input'!$I$7</f>
        <v>11.1015625</v>
      </c>
      <c r="L34" s="170">
        <f>'Fixed Cost Input'!$I$7</f>
        <v>11.1015625</v>
      </c>
      <c r="M34" s="190">
        <f>'Fixed Cost Input'!$I$7</f>
        <v>11.1015625</v>
      </c>
      <c r="N34" s="170">
        <f>'Fixed Cost Input'!$I$7</f>
        <v>11.1015625</v>
      </c>
      <c r="O34" s="190">
        <f>'Fixed Cost Input'!$I$7</f>
        <v>11.1015625</v>
      </c>
      <c r="P34" s="170">
        <f>'Fixed Cost Input'!$I$7</f>
        <v>11.1015625</v>
      </c>
      <c r="Q34" s="190">
        <f>'Fixed Cost Input'!$I$7</f>
        <v>11.1015625</v>
      </c>
      <c r="R34" s="170">
        <f>'Fixed Cost Input'!$I$7</f>
        <v>11.1015625</v>
      </c>
      <c r="S34" s="171">
        <f>'Fixed Cost Input'!$I$7</f>
        <v>11.1015625</v>
      </c>
      <c r="T34" s="190">
        <f>'Fixed Cost Input'!$I$7</f>
        <v>11.1015625</v>
      </c>
      <c r="U34" s="403"/>
      <c r="V34" s="453"/>
    </row>
    <row r="35" spans="1:22" s="454" customFormat="1" ht="18">
      <c r="A35" s="42"/>
      <c r="B35" s="42" t="s">
        <v>37</v>
      </c>
      <c r="C35" s="191">
        <f>'Op. Cost Input'!H13</f>
        <v>4.594250000000001</v>
      </c>
      <c r="D35" s="77">
        <f>'Op. Cost Input'!H14</f>
        <v>0</v>
      </c>
      <c r="E35" s="192">
        <f>'Op. Cost Input'!H15</f>
        <v>0.7206666666666667</v>
      </c>
      <c r="F35" s="191">
        <f>'Op. Cost Input'!H17</f>
        <v>4.594250000000001</v>
      </c>
      <c r="G35" s="77">
        <f>'Op. Cost Input'!H18</f>
        <v>0</v>
      </c>
      <c r="H35" s="192">
        <f>'Op. Cost Input'!H19</f>
        <v>1.0509722222222222</v>
      </c>
      <c r="I35" s="210">
        <f>'Op. Cost Input'!H21</f>
        <v>5.3486979166666675</v>
      </c>
      <c r="J35" s="191">
        <f>'Op. Cost Input'!H23</f>
        <v>4.594250000000001</v>
      </c>
      <c r="K35" s="192">
        <f>'Op. Cost Input'!H24</f>
        <v>0.5630208333333335</v>
      </c>
      <c r="L35" s="191">
        <f>'Op. Cost Input'!H26</f>
        <v>5.405</v>
      </c>
      <c r="M35" s="192">
        <f>'Op. Cost Input'!H27</f>
        <v>4.504166666666668</v>
      </c>
      <c r="N35" s="191">
        <f>'Op. Cost Input'!H29</f>
        <v>4.594250000000001</v>
      </c>
      <c r="O35" s="192">
        <f>'Op. Cost Input'!H30</f>
        <v>2.4568181818181825</v>
      </c>
      <c r="P35" s="191">
        <f>'Op. Cost Input'!H32</f>
        <v>4.594250000000001</v>
      </c>
      <c r="Q35" s="192">
        <f>'Op. Cost Input'!H33</f>
        <v>0.4504166666666667</v>
      </c>
      <c r="R35" s="191">
        <f>'Op. Cost Input'!H35</f>
        <v>4.594250000000001</v>
      </c>
      <c r="S35" s="77">
        <f>'Op. Cost Input'!H36</f>
        <v>0</v>
      </c>
      <c r="T35" s="192">
        <f>'Op. Cost Input'!H37</f>
        <v>4.053750000000001</v>
      </c>
      <c r="U35" s="403"/>
      <c r="V35" s="453"/>
    </row>
    <row r="36" spans="1:22" s="113" customFormat="1" ht="18">
      <c r="A36" s="34"/>
      <c r="B36" s="103" t="s">
        <v>44</v>
      </c>
      <c r="C36" s="159">
        <f aca="true" t="shared" si="1" ref="C36:T36">SUM(C32:C35)</f>
        <v>113.8520625</v>
      </c>
      <c r="D36" s="160">
        <f t="shared" si="1"/>
        <v>109.2578125</v>
      </c>
      <c r="E36" s="193">
        <f t="shared" si="1"/>
        <v>109.97847916666667</v>
      </c>
      <c r="F36" s="159">
        <f t="shared" si="1"/>
        <v>113.8520625</v>
      </c>
      <c r="G36" s="160">
        <f t="shared" si="1"/>
        <v>109.2578125</v>
      </c>
      <c r="H36" s="193">
        <f t="shared" si="1"/>
        <v>110.30878472222223</v>
      </c>
      <c r="I36" s="209">
        <f t="shared" si="1"/>
        <v>114.60651041666667</v>
      </c>
      <c r="J36" s="159">
        <f t="shared" si="1"/>
        <v>113.8520625</v>
      </c>
      <c r="K36" s="193">
        <f t="shared" si="1"/>
        <v>109.82083333333334</v>
      </c>
      <c r="L36" s="159">
        <f t="shared" si="1"/>
        <v>114.6628125</v>
      </c>
      <c r="M36" s="193">
        <f t="shared" si="1"/>
        <v>113.76197916666666</v>
      </c>
      <c r="N36" s="159">
        <f t="shared" si="1"/>
        <v>113.8520625</v>
      </c>
      <c r="O36" s="193">
        <f t="shared" si="1"/>
        <v>111.71463068181818</v>
      </c>
      <c r="P36" s="159">
        <f t="shared" si="1"/>
        <v>113.8520625</v>
      </c>
      <c r="Q36" s="193">
        <f t="shared" si="1"/>
        <v>109.70822916666667</v>
      </c>
      <c r="R36" s="159">
        <f t="shared" si="1"/>
        <v>113.8520625</v>
      </c>
      <c r="S36" s="160">
        <f t="shared" si="1"/>
        <v>109.2578125</v>
      </c>
      <c r="T36" s="193">
        <f t="shared" si="1"/>
        <v>113.31156250000001</v>
      </c>
      <c r="U36" s="279">
        <f>IF(SUM(U32:U35)=0,"",SUM(U32:U35))</f>
      </c>
      <c r="V36" s="41"/>
    </row>
    <row r="37" spans="1:22" s="113" customFormat="1" ht="18">
      <c r="A37" s="34"/>
      <c r="B37" s="47" t="s">
        <v>38</v>
      </c>
      <c r="C37" s="159">
        <f aca="true" t="shared" si="2" ref="C37:T37">+C29+C36</f>
        <v>287.968955022738</v>
      </c>
      <c r="D37" s="160">
        <f t="shared" si="2"/>
        <v>205.75743085314448</v>
      </c>
      <c r="E37" s="193">
        <f t="shared" si="2"/>
        <v>541.732979822678</v>
      </c>
      <c r="F37" s="159">
        <f t="shared" si="2"/>
        <v>278.89035196388056</v>
      </c>
      <c r="G37" s="160">
        <f t="shared" si="2"/>
        <v>237.20363415835646</v>
      </c>
      <c r="H37" s="193">
        <f t="shared" si="2"/>
        <v>282.18441284579905</v>
      </c>
      <c r="I37" s="209">
        <f t="shared" si="2"/>
        <v>309.30965931964374</v>
      </c>
      <c r="J37" s="159">
        <f t="shared" si="2"/>
        <v>290.40035196388055</v>
      </c>
      <c r="K37" s="193">
        <f t="shared" si="2"/>
        <v>312.0908047797629</v>
      </c>
      <c r="L37" s="159">
        <f t="shared" si="2"/>
        <v>309.6935486838806</v>
      </c>
      <c r="M37" s="193">
        <f t="shared" si="2"/>
        <v>396.1087304425894</v>
      </c>
      <c r="N37" s="159">
        <f t="shared" si="2"/>
        <v>269.8503519638806</v>
      </c>
      <c r="O37" s="193">
        <f t="shared" si="2"/>
        <v>274.1548287444726</v>
      </c>
      <c r="P37" s="159">
        <f t="shared" si="2"/>
        <v>282.5208965492914</v>
      </c>
      <c r="Q37" s="193">
        <f t="shared" si="2"/>
        <v>266.212899630983</v>
      </c>
      <c r="R37" s="159">
        <f t="shared" si="2"/>
        <v>285.66089654929146</v>
      </c>
      <c r="S37" s="160">
        <f t="shared" si="2"/>
        <v>269.0262664539372</v>
      </c>
      <c r="T37" s="193">
        <f t="shared" si="2"/>
        <v>336.87585229718536</v>
      </c>
      <c r="U37" s="278">
        <f>IF(OR(U29="",U36=""),"",SUM(U29+U36))</f>
      </c>
      <c r="V37" s="41"/>
    </row>
    <row r="38" spans="1:22" s="113" customFormat="1" ht="18">
      <c r="A38" s="34"/>
      <c r="B38" s="34"/>
      <c r="C38" s="165"/>
      <c r="D38" s="42"/>
      <c r="E38" s="196"/>
      <c r="F38" s="165"/>
      <c r="G38" s="42"/>
      <c r="H38" s="196"/>
      <c r="I38" s="213"/>
      <c r="J38" s="165"/>
      <c r="K38" s="196"/>
      <c r="L38" s="165"/>
      <c r="M38" s="196"/>
      <c r="N38" s="165"/>
      <c r="O38" s="196"/>
      <c r="P38" s="165"/>
      <c r="Q38" s="196"/>
      <c r="R38" s="165"/>
      <c r="S38" s="42"/>
      <c r="T38" s="196"/>
      <c r="U38" s="42"/>
      <c r="V38" s="41"/>
    </row>
    <row r="39" spans="1:22" s="454" customFormat="1" ht="18">
      <c r="A39" s="103" t="s">
        <v>39</v>
      </c>
      <c r="B39" s="453"/>
      <c r="C39" s="170">
        <f>'Op. Cost Input'!$E$5*'Op. Cost Input'!$D13</f>
        <v>30</v>
      </c>
      <c r="D39" s="171">
        <f>'Op. Cost Input'!$E$5*'Op. Cost Input'!$D14</f>
        <v>30</v>
      </c>
      <c r="E39" s="190">
        <f>'Op. Cost Input'!$E$5*'Op. Cost Input'!$D15</f>
        <v>30</v>
      </c>
      <c r="F39" s="170">
        <f>'Op. Cost Input'!$E$5*'Op. Cost Input'!$D17</f>
        <v>30</v>
      </c>
      <c r="G39" s="171">
        <f>'Op. Cost Input'!$E$5*'Op. Cost Input'!$D18</f>
        <v>30</v>
      </c>
      <c r="H39" s="190">
        <f>'Op. Cost Input'!$E$5*'Op. Cost Input'!$D19</f>
        <v>30</v>
      </c>
      <c r="I39" s="208">
        <f>'Op. Cost Input'!$E$5*'Op. Cost Input'!$D21</f>
        <v>30</v>
      </c>
      <c r="J39" s="170">
        <f>'Op. Cost Input'!$E$5*'Op. Cost Input'!$D23</f>
        <v>30</v>
      </c>
      <c r="K39" s="190">
        <f>'Op. Cost Input'!$E$5*'Op. Cost Input'!$D24</f>
        <v>30</v>
      </c>
      <c r="L39" s="170">
        <f>'Op. Cost Input'!$E$5*'Op. Cost Input'!$D26</f>
        <v>30</v>
      </c>
      <c r="M39" s="190">
        <f>'Op. Cost Input'!$E$5*'Op. Cost Input'!$D27</f>
        <v>30</v>
      </c>
      <c r="N39" s="170">
        <f>'Op. Cost Input'!$E$5*'Op. Cost Input'!$D29</f>
        <v>30</v>
      </c>
      <c r="O39" s="190">
        <f>'Op. Cost Input'!$E$5*'Op. Cost Input'!$D30</f>
        <v>30</v>
      </c>
      <c r="P39" s="170">
        <f>'Op. Cost Input'!$E$5*'Op. Cost Input'!$D32</f>
        <v>30</v>
      </c>
      <c r="Q39" s="190">
        <f>'Op. Cost Input'!$E$5*'Op. Cost Input'!$D33</f>
        <v>30</v>
      </c>
      <c r="R39" s="170">
        <f>'Op. Cost Input'!$E$5*'Op. Cost Input'!$D35</f>
        <v>30</v>
      </c>
      <c r="S39" s="171">
        <f>'Op. Cost Input'!$E$5*'Op. Cost Input'!$D36</f>
        <v>30</v>
      </c>
      <c r="T39" s="190">
        <f>'Op. Cost Input'!$E$5*'Op. Cost Input'!$D37</f>
        <v>30</v>
      </c>
      <c r="U39" s="403"/>
      <c r="V39" s="453"/>
    </row>
    <row r="40" spans="1:21" ht="18">
      <c r="A40" s="9"/>
      <c r="B40" s="9"/>
      <c r="C40" s="165"/>
      <c r="D40" s="42"/>
      <c r="E40" s="196"/>
      <c r="F40" s="165"/>
      <c r="G40" s="42"/>
      <c r="H40" s="196"/>
      <c r="I40" s="213"/>
      <c r="J40" s="165"/>
      <c r="K40" s="196"/>
      <c r="L40" s="165"/>
      <c r="M40" s="196"/>
      <c r="N40" s="165"/>
      <c r="O40" s="196"/>
      <c r="P40" s="165"/>
      <c r="Q40" s="196"/>
      <c r="R40" s="165"/>
      <c r="S40" s="42"/>
      <c r="T40" s="196"/>
      <c r="U40" s="34"/>
    </row>
    <row r="41" spans="1:21" ht="18">
      <c r="A41" s="47" t="s">
        <v>40</v>
      </c>
      <c r="C41" s="159">
        <f aca="true" t="shared" si="3" ref="C41:K41">+C37+C39</f>
        <v>317.968955022738</v>
      </c>
      <c r="D41" s="160">
        <f t="shared" si="3"/>
        <v>235.75743085314448</v>
      </c>
      <c r="E41" s="193">
        <f t="shared" si="3"/>
        <v>571.732979822678</v>
      </c>
      <c r="F41" s="159">
        <f t="shared" si="3"/>
        <v>308.89035196388056</v>
      </c>
      <c r="G41" s="160">
        <f t="shared" si="3"/>
        <v>267.20363415835646</v>
      </c>
      <c r="H41" s="193">
        <f t="shared" si="3"/>
        <v>312.18441284579905</v>
      </c>
      <c r="I41" s="209">
        <f t="shared" si="3"/>
        <v>339.30965931964374</v>
      </c>
      <c r="J41" s="159">
        <f t="shared" si="3"/>
        <v>320.40035196388055</v>
      </c>
      <c r="K41" s="193">
        <f t="shared" si="3"/>
        <v>342.0908047797629</v>
      </c>
      <c r="L41" s="159">
        <f aca="true" t="shared" si="4" ref="L41:S41">+L37+L39</f>
        <v>339.6935486838806</v>
      </c>
      <c r="M41" s="193">
        <f t="shared" si="4"/>
        <v>426.1087304425894</v>
      </c>
      <c r="N41" s="159">
        <f t="shared" si="4"/>
        <v>299.8503519638806</v>
      </c>
      <c r="O41" s="193">
        <f t="shared" si="4"/>
        <v>304.1548287444726</v>
      </c>
      <c r="P41" s="159">
        <f t="shared" si="4"/>
        <v>312.5208965492914</v>
      </c>
      <c r="Q41" s="193">
        <f t="shared" si="4"/>
        <v>296.212899630983</v>
      </c>
      <c r="R41" s="159">
        <f t="shared" si="4"/>
        <v>315.66089654929146</v>
      </c>
      <c r="S41" s="160">
        <f t="shared" si="4"/>
        <v>299.0262664539372</v>
      </c>
      <c r="T41" s="193">
        <f>ROUND(+T37+T39,2)</f>
        <v>366.88</v>
      </c>
      <c r="U41" s="466">
        <f>IF(OR(U29="",U37="",U39=""),"",SUM(U29+U37+U39))</f>
      </c>
    </row>
    <row r="42" spans="1:21" ht="7.5" customHeight="1">
      <c r="A42" s="34"/>
      <c r="B42" s="47"/>
      <c r="C42" s="159"/>
      <c r="D42" s="160"/>
      <c r="E42" s="193"/>
      <c r="F42" s="159"/>
      <c r="G42" s="160"/>
      <c r="H42" s="193"/>
      <c r="I42" s="209"/>
      <c r="J42" s="159"/>
      <c r="K42" s="193"/>
      <c r="L42" s="159"/>
      <c r="M42" s="193"/>
      <c r="N42" s="159"/>
      <c r="O42" s="193"/>
      <c r="P42" s="159"/>
      <c r="Q42" s="193"/>
      <c r="R42" s="159"/>
      <c r="S42" s="160"/>
      <c r="T42" s="193"/>
      <c r="U42" s="79"/>
    </row>
    <row r="43" spans="1:21" ht="7.5" customHeight="1">
      <c r="A43" s="9"/>
      <c r="B43" s="9"/>
      <c r="C43" s="462"/>
      <c r="D43" s="463"/>
      <c r="E43" s="464"/>
      <c r="F43" s="462"/>
      <c r="G43" s="466"/>
      <c r="H43" s="464"/>
      <c r="I43" s="469"/>
      <c r="J43" s="462"/>
      <c r="K43" s="464"/>
      <c r="L43" s="234"/>
      <c r="M43" s="464"/>
      <c r="N43" s="234"/>
      <c r="O43" s="470"/>
      <c r="P43" s="234"/>
      <c r="Q43" s="464"/>
      <c r="R43" s="462"/>
      <c r="S43" s="466"/>
      <c r="T43" s="470"/>
      <c r="U43" s="78"/>
    </row>
    <row r="44" spans="1:21" ht="18" customHeight="1">
      <c r="A44" s="276"/>
      <c r="B44" s="276"/>
      <c r="C44" s="508" t="s">
        <v>74</v>
      </c>
      <c r="D44" s="508"/>
      <c r="E44" s="508"/>
      <c r="F44" s="508"/>
      <c r="G44" s="508"/>
      <c r="H44" s="508"/>
      <c r="I44" s="508"/>
      <c r="J44" s="508"/>
      <c r="K44" s="508"/>
      <c r="L44" s="508" t="s">
        <v>74</v>
      </c>
      <c r="M44" s="508"/>
      <c r="N44" s="508"/>
      <c r="O44" s="508"/>
      <c r="P44" s="508"/>
      <c r="Q44" s="508"/>
      <c r="R44" s="508"/>
      <c r="S44" s="508"/>
      <c r="T44" s="508"/>
      <c r="U44" s="508"/>
    </row>
    <row r="45" spans="1:27" ht="18">
      <c r="A45" s="74" t="s">
        <v>68</v>
      </c>
      <c r="C45" s="235"/>
      <c r="D45" s="154"/>
      <c r="E45" s="155"/>
      <c r="F45" s="194"/>
      <c r="G45" s="154"/>
      <c r="H45" s="155"/>
      <c r="I45" s="236"/>
      <c r="J45" s="194"/>
      <c r="K45" s="155"/>
      <c r="L45" s="194"/>
      <c r="M45" s="155"/>
      <c r="N45" s="194"/>
      <c r="O45" s="155"/>
      <c r="P45" s="194"/>
      <c r="Q45" s="155"/>
      <c r="R45" s="194"/>
      <c r="S45" s="154"/>
      <c r="T45" s="155"/>
      <c r="U45" s="74"/>
      <c r="V45" s="74"/>
      <c r="W45" s="74"/>
      <c r="X45" s="74"/>
      <c r="Y45" s="74"/>
      <c r="Z45" s="74"/>
      <c r="AA45" s="74"/>
    </row>
    <row r="46" spans="1:21" ht="18">
      <c r="A46" s="9"/>
      <c r="B46" s="72" t="s">
        <v>79</v>
      </c>
      <c r="C46" s="337">
        <v>6.5</v>
      </c>
      <c r="D46" s="160"/>
      <c r="E46" s="323">
        <v>1.85</v>
      </c>
      <c r="F46" s="337">
        <v>6.5</v>
      </c>
      <c r="G46" s="160"/>
      <c r="H46" s="324">
        <v>0.9</v>
      </c>
      <c r="I46" s="325">
        <v>0.27</v>
      </c>
      <c r="J46" s="337">
        <v>6.5</v>
      </c>
      <c r="K46" s="324">
        <v>0.9</v>
      </c>
      <c r="L46" s="337">
        <v>6.5</v>
      </c>
      <c r="M46" s="324">
        <v>0.55</v>
      </c>
      <c r="N46" s="337">
        <v>6.5</v>
      </c>
      <c r="O46" s="324">
        <v>1</v>
      </c>
      <c r="P46" s="337">
        <v>6.5</v>
      </c>
      <c r="Q46" s="324">
        <v>1.85</v>
      </c>
      <c r="R46" s="337">
        <v>6.5</v>
      </c>
      <c r="S46" s="160"/>
      <c r="T46" s="324">
        <v>0.5</v>
      </c>
      <c r="U46" s="274"/>
    </row>
    <row r="47" spans="1:22" s="3" customFormat="1" ht="18">
      <c r="A47" s="72"/>
      <c r="B47" s="72" t="s">
        <v>91</v>
      </c>
      <c r="C47" s="277">
        <v>34</v>
      </c>
      <c r="D47" s="246"/>
      <c r="E47" s="247">
        <f>Production!D15</f>
        <v>320</v>
      </c>
      <c r="F47" s="277">
        <v>34</v>
      </c>
      <c r="G47" s="246"/>
      <c r="H47" s="248">
        <f>Production!E15</f>
        <v>350</v>
      </c>
      <c r="I47" s="249">
        <f>Production!H15</f>
        <v>950</v>
      </c>
      <c r="J47" s="277">
        <v>34</v>
      </c>
      <c r="K47" s="248">
        <f>Production!J15</f>
        <v>250</v>
      </c>
      <c r="L47" s="277">
        <v>40</v>
      </c>
      <c r="M47" s="248">
        <f>Production!F15</f>
        <v>800</v>
      </c>
      <c r="N47" s="277">
        <v>34</v>
      </c>
      <c r="O47" s="248">
        <f>Production!G15</f>
        <v>400</v>
      </c>
      <c r="P47" s="277">
        <v>34</v>
      </c>
      <c r="Q47" s="248">
        <f>Production!I15</f>
        <v>200</v>
      </c>
      <c r="R47" s="277">
        <v>34</v>
      </c>
      <c r="S47" s="246"/>
      <c r="T47" s="248">
        <f>Production!K15</f>
        <v>750</v>
      </c>
      <c r="U47" s="274"/>
      <c r="V47" s="80"/>
    </row>
    <row r="48" spans="1:22" s="3" customFormat="1" ht="18">
      <c r="A48" s="72"/>
      <c r="B48" s="72" t="s">
        <v>94</v>
      </c>
      <c r="C48" s="156" t="s">
        <v>7</v>
      </c>
      <c r="D48" s="157"/>
      <c r="E48" s="158" t="s">
        <v>9</v>
      </c>
      <c r="F48" s="156" t="s">
        <v>7</v>
      </c>
      <c r="G48" s="157"/>
      <c r="H48" s="158" t="s">
        <v>9</v>
      </c>
      <c r="I48" s="211" t="s">
        <v>9</v>
      </c>
      <c r="J48" s="156" t="s">
        <v>7</v>
      </c>
      <c r="K48" s="158" t="s">
        <v>9</v>
      </c>
      <c r="L48" s="156" t="s">
        <v>7</v>
      </c>
      <c r="M48" s="158" t="s">
        <v>9</v>
      </c>
      <c r="N48" s="156" t="s">
        <v>7</v>
      </c>
      <c r="O48" s="158" t="s">
        <v>9</v>
      </c>
      <c r="P48" s="156" t="s">
        <v>7</v>
      </c>
      <c r="Q48" s="158" t="s">
        <v>9</v>
      </c>
      <c r="R48" s="156" t="s">
        <v>7</v>
      </c>
      <c r="S48" s="157"/>
      <c r="T48" s="158" t="s">
        <v>9</v>
      </c>
      <c r="U48" s="102"/>
      <c r="V48" s="80"/>
    </row>
    <row r="49" spans="1:22" s="33" customFormat="1" ht="18">
      <c r="A49" s="10"/>
      <c r="B49" s="74" t="s">
        <v>80</v>
      </c>
      <c r="C49" s="159">
        <f aca="true" t="shared" si="5" ref="C49:T49">ROUND((C46*C47),2)</f>
        <v>221</v>
      </c>
      <c r="D49" s="160">
        <f t="shared" si="5"/>
        <v>0</v>
      </c>
      <c r="E49" s="161">
        <f t="shared" si="5"/>
        <v>592</v>
      </c>
      <c r="F49" s="159">
        <f t="shared" si="5"/>
        <v>221</v>
      </c>
      <c r="G49" s="160">
        <f t="shared" si="5"/>
        <v>0</v>
      </c>
      <c r="H49" s="193">
        <f t="shared" si="5"/>
        <v>315</v>
      </c>
      <c r="I49" s="209">
        <f t="shared" si="5"/>
        <v>256.5</v>
      </c>
      <c r="J49" s="159">
        <f t="shared" si="5"/>
        <v>221</v>
      </c>
      <c r="K49" s="193">
        <f t="shared" si="5"/>
        <v>225</v>
      </c>
      <c r="L49" s="159">
        <f t="shared" si="5"/>
        <v>260</v>
      </c>
      <c r="M49" s="193">
        <f t="shared" si="5"/>
        <v>440</v>
      </c>
      <c r="N49" s="159">
        <f t="shared" si="5"/>
        <v>221</v>
      </c>
      <c r="O49" s="193">
        <f t="shared" si="5"/>
        <v>400</v>
      </c>
      <c r="P49" s="159">
        <f t="shared" si="5"/>
        <v>221</v>
      </c>
      <c r="Q49" s="193">
        <f t="shared" si="5"/>
        <v>370</v>
      </c>
      <c r="R49" s="159">
        <f t="shared" si="5"/>
        <v>221</v>
      </c>
      <c r="S49" s="160">
        <f t="shared" si="5"/>
        <v>0</v>
      </c>
      <c r="T49" s="193">
        <f t="shared" si="5"/>
        <v>375</v>
      </c>
      <c r="U49" s="279">
        <f>IF(OR(U46="",U47=""),"",SUM(U46*U47))</f>
      </c>
      <c r="V49" s="73"/>
    </row>
    <row r="50" spans="1:21" ht="7.5" customHeight="1">
      <c r="A50" s="9"/>
      <c r="B50" s="72"/>
      <c r="C50" s="162"/>
      <c r="D50" s="163"/>
      <c r="E50" s="164"/>
      <c r="F50" s="162"/>
      <c r="G50" s="163"/>
      <c r="H50" s="195"/>
      <c r="I50" s="212"/>
      <c r="J50" s="162"/>
      <c r="K50" s="195"/>
      <c r="L50" s="162"/>
      <c r="M50" s="195"/>
      <c r="N50" s="162"/>
      <c r="O50" s="195"/>
      <c r="P50" s="162"/>
      <c r="Q50" s="195"/>
      <c r="R50" s="162"/>
      <c r="S50" s="163"/>
      <c r="T50" s="195"/>
      <c r="U50" s="81"/>
    </row>
    <row r="51" spans="1:21" ht="18">
      <c r="A51" s="74" t="s">
        <v>69</v>
      </c>
      <c r="C51" s="165"/>
      <c r="D51" s="42"/>
      <c r="E51" s="164"/>
      <c r="F51" s="165"/>
      <c r="G51" s="42"/>
      <c r="H51" s="196"/>
      <c r="I51" s="213"/>
      <c r="J51" s="165"/>
      <c r="K51" s="196"/>
      <c r="L51" s="165"/>
      <c r="M51" s="196"/>
      <c r="N51" s="165"/>
      <c r="O51" s="196"/>
      <c r="P51" s="165"/>
      <c r="Q51" s="196"/>
      <c r="R51" s="165"/>
      <c r="S51" s="42"/>
      <c r="T51" s="196"/>
      <c r="U51" s="72"/>
    </row>
    <row r="52" spans="1:21" s="1" customFormat="1" ht="15.75">
      <c r="A52" s="9"/>
      <c r="B52" s="72" t="s">
        <v>81</v>
      </c>
      <c r="C52" s="166">
        <f aca="true" t="shared" si="6" ref="C52:T52">SUM(C49-C29)</f>
        <v>46.883107477262</v>
      </c>
      <c r="D52" s="167">
        <f t="shared" si="6"/>
        <v>-96.49961835314448</v>
      </c>
      <c r="E52" s="339">
        <f t="shared" si="6"/>
        <v>160.24549934398868</v>
      </c>
      <c r="F52" s="166">
        <f t="shared" si="6"/>
        <v>55.961710536119455</v>
      </c>
      <c r="G52" s="167">
        <f>SUM(G49-G29)</f>
        <v>-127.94582165835648</v>
      </c>
      <c r="H52" s="340">
        <f t="shared" si="6"/>
        <v>143.12437187642317</v>
      </c>
      <c r="I52" s="214">
        <f t="shared" si="6"/>
        <v>61.79685109702294</v>
      </c>
      <c r="J52" s="166">
        <f t="shared" si="6"/>
        <v>44.451710536119435</v>
      </c>
      <c r="K52" s="340">
        <f t="shared" si="6"/>
        <v>22.730028553570463</v>
      </c>
      <c r="L52" s="166">
        <f t="shared" si="6"/>
        <v>64.96926381611942</v>
      </c>
      <c r="M52" s="340">
        <f t="shared" si="6"/>
        <v>157.6532487240773</v>
      </c>
      <c r="N52" s="166">
        <f t="shared" si="6"/>
        <v>65.00171053611942</v>
      </c>
      <c r="O52" s="340">
        <f t="shared" si="6"/>
        <v>237.55980193734558</v>
      </c>
      <c r="P52" s="166">
        <f t="shared" si="6"/>
        <v>52.33116595070857</v>
      </c>
      <c r="Q52" s="340">
        <f t="shared" si="6"/>
        <v>213.4953295356837</v>
      </c>
      <c r="R52" s="166">
        <f t="shared" si="6"/>
        <v>49.19116595070855</v>
      </c>
      <c r="S52" s="167">
        <f t="shared" si="6"/>
        <v>-159.76845395393718</v>
      </c>
      <c r="T52" s="340">
        <f t="shared" si="6"/>
        <v>151.43571020281468</v>
      </c>
      <c r="U52" s="283">
        <f>IF(OR(U29="",U49=""),"",SUM(U49-U29))</f>
      </c>
    </row>
    <row r="53" spans="1:21" s="1" customFormat="1" ht="15.75">
      <c r="A53" s="9"/>
      <c r="B53" s="72" t="s">
        <v>82</v>
      </c>
      <c r="C53" s="166">
        <f aca="true" t="shared" si="7" ref="C53:T53">SUM(C49-C41)</f>
        <v>-96.96895502273799</v>
      </c>
      <c r="D53" s="167">
        <f>SUM(D49-D41)</f>
        <v>-235.75743085314448</v>
      </c>
      <c r="E53" s="339">
        <f t="shared" si="7"/>
        <v>20.267020177322024</v>
      </c>
      <c r="F53" s="166">
        <f t="shared" si="7"/>
        <v>-87.89035196388056</v>
      </c>
      <c r="G53" s="167">
        <f t="shared" si="7"/>
        <v>-267.20363415835646</v>
      </c>
      <c r="H53" s="339">
        <f t="shared" si="7"/>
        <v>2.815587154200955</v>
      </c>
      <c r="I53" s="214">
        <f t="shared" si="7"/>
        <v>-82.80965931964374</v>
      </c>
      <c r="J53" s="166">
        <f t="shared" si="7"/>
        <v>-99.40035196388055</v>
      </c>
      <c r="K53" s="340">
        <f t="shared" si="7"/>
        <v>-117.09080477976289</v>
      </c>
      <c r="L53" s="166">
        <f t="shared" si="7"/>
        <v>-79.69354868388058</v>
      </c>
      <c r="M53" s="340">
        <f t="shared" si="7"/>
        <v>13.891269557410624</v>
      </c>
      <c r="N53" s="166">
        <f t="shared" si="7"/>
        <v>-78.8503519638806</v>
      </c>
      <c r="O53" s="340">
        <f t="shared" si="7"/>
        <v>95.84517125552742</v>
      </c>
      <c r="P53" s="166">
        <f t="shared" si="7"/>
        <v>-91.52089654929142</v>
      </c>
      <c r="Q53" s="340">
        <f t="shared" si="7"/>
        <v>73.78710036901703</v>
      </c>
      <c r="R53" s="166">
        <f t="shared" si="7"/>
        <v>-94.66089654929146</v>
      </c>
      <c r="S53" s="167">
        <f t="shared" si="7"/>
        <v>-299.0262664539372</v>
      </c>
      <c r="T53" s="340">
        <f t="shared" si="7"/>
        <v>8.120000000000005</v>
      </c>
      <c r="U53" s="283">
        <f>IF(OR(U41="",U49=""),"",SUM(U49-U41))</f>
      </c>
    </row>
    <row r="54" spans="1:22" s="33" customFormat="1" ht="18">
      <c r="A54" s="10"/>
      <c r="B54" s="103" t="s">
        <v>77</v>
      </c>
      <c r="C54" s="168">
        <f aca="true" t="shared" si="8" ref="C54:T54">SUM(C29/C49)</f>
        <v>0.7878592421843348</v>
      </c>
      <c r="D54" s="104"/>
      <c r="E54" s="169">
        <f t="shared" si="8"/>
        <v>0.729315034891911</v>
      </c>
      <c r="F54" s="168">
        <f t="shared" si="8"/>
        <v>0.7467795903343011</v>
      </c>
      <c r="G54" s="104"/>
      <c r="H54" s="198">
        <f t="shared" si="8"/>
        <v>0.5456369146780217</v>
      </c>
      <c r="I54" s="215">
        <f t="shared" si="8"/>
        <v>0.759076603910242</v>
      </c>
      <c r="J54" s="168">
        <f t="shared" si="8"/>
        <v>0.7988610382981021</v>
      </c>
      <c r="K54" s="198">
        <f t="shared" si="8"/>
        <v>0.8989776508730202</v>
      </c>
      <c r="L54" s="168">
        <f t="shared" si="8"/>
        <v>0.7501182160918484</v>
      </c>
      <c r="M54" s="198">
        <f t="shared" si="8"/>
        <v>0.6416971619907335</v>
      </c>
      <c r="N54" s="168">
        <f t="shared" si="8"/>
        <v>0.7058746129587357</v>
      </c>
      <c r="O54" s="198">
        <f t="shared" si="8"/>
        <v>0.40610049515663604</v>
      </c>
      <c r="P54" s="168">
        <f t="shared" si="8"/>
        <v>0.7632073938881966</v>
      </c>
      <c r="Q54" s="198">
        <f t="shared" si="8"/>
        <v>0.4229855958495035</v>
      </c>
      <c r="R54" s="168">
        <f t="shared" si="8"/>
        <v>0.7774155386845767</v>
      </c>
      <c r="S54" s="104"/>
      <c r="T54" s="198">
        <f t="shared" si="8"/>
        <v>0.5961714394591608</v>
      </c>
      <c r="U54" s="284">
        <f>IF(OR(U29="",U49=""),"",SUM(U29/U49))</f>
      </c>
      <c r="V54" s="73"/>
    </row>
    <row r="55" spans="1:21" ht="7.5" customHeight="1">
      <c r="A55" s="9"/>
      <c r="B55" s="72"/>
      <c r="C55" s="170"/>
      <c r="D55" s="171"/>
      <c r="E55" s="164"/>
      <c r="F55" s="170"/>
      <c r="G55" s="167"/>
      <c r="H55" s="190"/>
      <c r="I55" s="208"/>
      <c r="J55" s="170"/>
      <c r="K55" s="190"/>
      <c r="L55" s="166"/>
      <c r="M55" s="190"/>
      <c r="N55" s="166"/>
      <c r="O55" s="197"/>
      <c r="P55" s="166"/>
      <c r="Q55" s="190"/>
      <c r="R55" s="170"/>
      <c r="S55" s="167"/>
      <c r="T55" s="197"/>
      <c r="U55" s="82"/>
    </row>
    <row r="56" spans="1:21" ht="18">
      <c r="A56" s="74" t="s">
        <v>92</v>
      </c>
      <c r="C56" s="172"/>
      <c r="D56" s="173"/>
      <c r="E56" s="174"/>
      <c r="F56" s="172"/>
      <c r="G56" s="173"/>
      <c r="H56" s="199"/>
      <c r="I56" s="216"/>
      <c r="J56" s="219"/>
      <c r="K56" s="220"/>
      <c r="L56" s="172"/>
      <c r="M56" s="199"/>
      <c r="N56" s="172"/>
      <c r="O56" s="220"/>
      <c r="P56" s="172"/>
      <c r="Q56" s="199"/>
      <c r="R56" s="172"/>
      <c r="S56" s="173"/>
      <c r="T56" s="220"/>
      <c r="U56" s="84"/>
    </row>
    <row r="57" spans="1:21" ht="18">
      <c r="A57" s="9"/>
      <c r="B57" s="72" t="s">
        <v>41</v>
      </c>
      <c r="C57" s="170">
        <f aca="true" t="shared" si="9" ref="C57:T57">SUM(C29/C47)</f>
        <v>5.121085074198176</v>
      </c>
      <c r="D57" s="171"/>
      <c r="E57" s="164">
        <f t="shared" si="9"/>
        <v>1.3492328145500354</v>
      </c>
      <c r="F57" s="170">
        <f t="shared" si="9"/>
        <v>4.854067337172957</v>
      </c>
      <c r="G57" s="171"/>
      <c r="H57" s="190">
        <f t="shared" si="9"/>
        <v>0.4910732232102195</v>
      </c>
      <c r="I57" s="208">
        <f t="shared" si="9"/>
        <v>0.20495068305576533</v>
      </c>
      <c r="J57" s="170">
        <f t="shared" si="9"/>
        <v>5.192596748937664</v>
      </c>
      <c r="K57" s="190">
        <f t="shared" si="9"/>
        <v>0.8090798857857181</v>
      </c>
      <c r="L57" s="170">
        <f t="shared" si="9"/>
        <v>4.875768404597014</v>
      </c>
      <c r="M57" s="190">
        <f t="shared" si="9"/>
        <v>0.3529334390949034</v>
      </c>
      <c r="N57" s="170">
        <f t="shared" si="9"/>
        <v>4.5881849842317814</v>
      </c>
      <c r="O57" s="190">
        <f t="shared" si="9"/>
        <v>0.40610049515663604</v>
      </c>
      <c r="P57" s="170">
        <f t="shared" si="9"/>
        <v>4.960848060273277</v>
      </c>
      <c r="Q57" s="190">
        <f t="shared" si="9"/>
        <v>0.7825233523215814</v>
      </c>
      <c r="R57" s="170">
        <f t="shared" si="9"/>
        <v>5.053201001449748</v>
      </c>
      <c r="S57" s="171"/>
      <c r="T57" s="190">
        <f t="shared" si="9"/>
        <v>0.2980857197295804</v>
      </c>
      <c r="U57" s="280"/>
    </row>
    <row r="58" spans="1:21" ht="18">
      <c r="A58" s="9"/>
      <c r="B58" s="74" t="s">
        <v>40</v>
      </c>
      <c r="C58" s="159">
        <f aca="true" t="shared" si="10" ref="C58:T58">SUM(C41/C47)</f>
        <v>9.352028088904058</v>
      </c>
      <c r="D58" s="160"/>
      <c r="E58" s="161">
        <f t="shared" si="10"/>
        <v>1.7866655619458687</v>
      </c>
      <c r="F58" s="159">
        <f t="shared" si="10"/>
        <v>9.08501035187884</v>
      </c>
      <c r="G58" s="160"/>
      <c r="H58" s="193">
        <f t="shared" si="10"/>
        <v>0.8919554652737116</v>
      </c>
      <c r="I58" s="209">
        <f t="shared" si="10"/>
        <v>0.35716806244173027</v>
      </c>
      <c r="J58" s="159">
        <f t="shared" si="10"/>
        <v>9.423539763643547</v>
      </c>
      <c r="K58" s="193">
        <f t="shared" si="10"/>
        <v>1.3683632191190516</v>
      </c>
      <c r="L58" s="159">
        <f t="shared" si="10"/>
        <v>8.492338717097015</v>
      </c>
      <c r="M58" s="193">
        <f t="shared" si="10"/>
        <v>0.5326359130532368</v>
      </c>
      <c r="N58" s="159">
        <f t="shared" si="10"/>
        <v>8.819127998937665</v>
      </c>
      <c r="O58" s="193">
        <f t="shared" si="10"/>
        <v>0.7603870718611815</v>
      </c>
      <c r="P58" s="159">
        <f t="shared" si="10"/>
        <v>9.19179107497916</v>
      </c>
      <c r="Q58" s="193">
        <f t="shared" si="10"/>
        <v>1.4810644981549148</v>
      </c>
      <c r="R58" s="159">
        <f t="shared" si="10"/>
        <v>9.284144016155631</v>
      </c>
      <c r="S58" s="160"/>
      <c r="T58" s="193">
        <f t="shared" si="10"/>
        <v>0.48917333333333335</v>
      </c>
      <c r="U58" s="278"/>
    </row>
    <row r="59" spans="1:21" ht="7.5" customHeight="1">
      <c r="A59" s="9"/>
      <c r="B59" s="74"/>
      <c r="C59" s="175"/>
      <c r="D59" s="176"/>
      <c r="E59" s="164"/>
      <c r="F59" s="175"/>
      <c r="G59" s="176"/>
      <c r="H59" s="200"/>
      <c r="I59" s="217"/>
      <c r="J59" s="175"/>
      <c r="K59" s="200"/>
      <c r="L59" s="175"/>
      <c r="M59" s="200"/>
      <c r="N59" s="175"/>
      <c r="O59" s="200"/>
      <c r="P59" s="175"/>
      <c r="Q59" s="200"/>
      <c r="R59" s="175"/>
      <c r="S59" s="176"/>
      <c r="T59" s="200"/>
      <c r="U59" s="86"/>
    </row>
    <row r="60" spans="1:21" ht="18">
      <c r="A60" s="74" t="s">
        <v>93</v>
      </c>
      <c r="C60" s="165"/>
      <c r="D60" s="42"/>
      <c r="E60" s="177"/>
      <c r="F60" s="165"/>
      <c r="G60" s="42"/>
      <c r="H60" s="196"/>
      <c r="I60" s="213"/>
      <c r="J60" s="165"/>
      <c r="K60" s="196"/>
      <c r="L60" s="165"/>
      <c r="M60" s="196"/>
      <c r="N60" s="165"/>
      <c r="O60" s="196"/>
      <c r="P60" s="165"/>
      <c r="Q60" s="196"/>
      <c r="R60" s="165"/>
      <c r="S60" s="42"/>
      <c r="T60" s="196"/>
      <c r="U60" s="72"/>
    </row>
    <row r="61" spans="1:21" ht="18">
      <c r="A61" s="9"/>
      <c r="B61" s="72" t="s">
        <v>41</v>
      </c>
      <c r="C61" s="178">
        <f aca="true" t="shared" si="11" ref="C61:T61">C29/C46</f>
        <v>26.787214234267385</v>
      </c>
      <c r="D61" s="179"/>
      <c r="E61" s="221">
        <f t="shared" si="11"/>
        <v>233.3808111654115</v>
      </c>
      <c r="F61" s="178">
        <f t="shared" si="11"/>
        <v>25.39050607136624</v>
      </c>
      <c r="G61" s="179"/>
      <c r="H61" s="223">
        <f t="shared" si="11"/>
        <v>190.9729201373076</v>
      </c>
      <c r="I61" s="224">
        <f t="shared" si="11"/>
        <v>721.1227737147298</v>
      </c>
      <c r="J61" s="178">
        <f t="shared" si="11"/>
        <v>27.161275302135472</v>
      </c>
      <c r="K61" s="223">
        <f t="shared" si="11"/>
        <v>224.74441271825503</v>
      </c>
      <c r="L61" s="178">
        <f t="shared" si="11"/>
        <v>30.004728643673936</v>
      </c>
      <c r="M61" s="223">
        <f t="shared" si="11"/>
        <v>513.3577295925867</v>
      </c>
      <c r="N61" s="178">
        <f t="shared" si="11"/>
        <v>23.999736840597013</v>
      </c>
      <c r="O61" s="223">
        <f t="shared" si="11"/>
        <v>162.44019806265442</v>
      </c>
      <c r="P61" s="178">
        <f t="shared" si="11"/>
        <v>25.949051392198683</v>
      </c>
      <c r="Q61" s="223">
        <f t="shared" si="11"/>
        <v>84.5971191699007</v>
      </c>
      <c r="R61" s="178">
        <f t="shared" si="11"/>
        <v>26.43212831527561</v>
      </c>
      <c r="S61" s="227"/>
      <c r="T61" s="223">
        <f t="shared" si="11"/>
        <v>447.12857959437065</v>
      </c>
      <c r="U61" s="281"/>
    </row>
    <row r="62" spans="1:21" ht="18">
      <c r="A62" s="9"/>
      <c r="B62" s="74" t="s">
        <v>40</v>
      </c>
      <c r="C62" s="172">
        <f aca="true" t="shared" si="12" ref="C62:T62">C41/C46</f>
        <v>48.91830077272892</v>
      </c>
      <c r="D62" s="173"/>
      <c r="E62" s="222">
        <f t="shared" si="12"/>
        <v>309.04485395820427</v>
      </c>
      <c r="F62" s="172">
        <f t="shared" si="12"/>
        <v>47.52159260982778</v>
      </c>
      <c r="G62" s="173"/>
      <c r="H62" s="220">
        <f t="shared" si="12"/>
        <v>346.8715698286656</v>
      </c>
      <c r="I62" s="225">
        <f t="shared" si="12"/>
        <v>1256.7024419246063</v>
      </c>
      <c r="J62" s="172">
        <f t="shared" si="12"/>
        <v>49.29236184059701</v>
      </c>
      <c r="K62" s="220">
        <f t="shared" si="12"/>
        <v>380.10089419973656</v>
      </c>
      <c r="L62" s="172">
        <f t="shared" si="12"/>
        <v>52.26054595136624</v>
      </c>
      <c r="M62" s="220">
        <f t="shared" si="12"/>
        <v>774.7431462592533</v>
      </c>
      <c r="N62" s="172">
        <f t="shared" si="12"/>
        <v>46.130823379058555</v>
      </c>
      <c r="O62" s="220">
        <f t="shared" si="12"/>
        <v>304.1548287444726</v>
      </c>
      <c r="P62" s="172">
        <f t="shared" si="12"/>
        <v>48.08013793066022</v>
      </c>
      <c r="Q62" s="220">
        <f t="shared" si="12"/>
        <v>160.1150808816124</v>
      </c>
      <c r="R62" s="172">
        <f t="shared" si="12"/>
        <v>48.56321485373715</v>
      </c>
      <c r="S62" s="228"/>
      <c r="T62" s="220">
        <f t="shared" si="12"/>
        <v>733.76</v>
      </c>
      <c r="U62" s="282"/>
    </row>
    <row r="63" spans="1:21" ht="7.5" customHeight="1">
      <c r="A63" s="9"/>
      <c r="B63" s="72"/>
      <c r="C63" s="180"/>
      <c r="D63" s="181"/>
      <c r="E63" s="182"/>
      <c r="F63" s="180"/>
      <c r="G63" s="181"/>
      <c r="H63" s="201"/>
      <c r="I63" s="218"/>
      <c r="J63" s="180"/>
      <c r="K63" s="201"/>
      <c r="L63" s="180"/>
      <c r="M63" s="201"/>
      <c r="N63" s="180"/>
      <c r="O63" s="201"/>
      <c r="P63" s="180"/>
      <c r="Q63" s="201"/>
      <c r="R63" s="180"/>
      <c r="S63" s="181"/>
      <c r="T63" s="201"/>
      <c r="U63" s="81"/>
    </row>
    <row r="64" spans="1:21" ht="7.5" customHeight="1">
      <c r="A64" s="9"/>
      <c r="B64" s="72"/>
      <c r="C64" s="163"/>
      <c r="D64" s="163"/>
      <c r="E64" s="202"/>
      <c r="F64" s="163"/>
      <c r="G64" s="163"/>
      <c r="H64" s="163"/>
      <c r="I64" s="81"/>
      <c r="J64" s="81"/>
      <c r="K64" s="81"/>
      <c r="L64" s="81"/>
      <c r="M64" s="81"/>
      <c r="N64" s="81"/>
      <c r="O64" s="81"/>
      <c r="P64" s="81"/>
      <c r="Q64" s="81"/>
      <c r="R64" s="81"/>
      <c r="S64" s="81"/>
      <c r="T64" s="81"/>
      <c r="U64" s="81"/>
    </row>
    <row r="65" spans="1:21" ht="18" customHeight="1">
      <c r="A65" s="9"/>
      <c r="B65" s="9" t="s">
        <v>240</v>
      </c>
      <c r="C65" s="344"/>
      <c r="D65" s="344"/>
      <c r="E65" s="344"/>
      <c r="F65" s="344"/>
      <c r="G65" s="344"/>
      <c r="H65" s="344"/>
      <c r="I65" s="344"/>
      <c r="J65" s="344"/>
      <c r="K65" s="344"/>
      <c r="L65" s="9" t="s">
        <v>238</v>
      </c>
      <c r="M65" s="72"/>
      <c r="N65" s="85"/>
      <c r="O65" s="85"/>
      <c r="P65" s="85"/>
      <c r="Q65" s="72"/>
      <c r="R65" s="72"/>
      <c r="S65" s="85"/>
      <c r="T65" s="85"/>
      <c r="U65" s="85"/>
    </row>
    <row r="66" spans="1:21" ht="18">
      <c r="A66" s="9"/>
      <c r="B66" s="1" t="s">
        <v>321</v>
      </c>
      <c r="C66" s="344"/>
      <c r="D66" s="344"/>
      <c r="E66" s="344"/>
      <c r="F66" s="344"/>
      <c r="G66" s="344"/>
      <c r="H66" s="344"/>
      <c r="I66" s="344"/>
      <c r="J66" s="344"/>
      <c r="K66" s="344"/>
      <c r="L66" s="85"/>
      <c r="M66" s="72"/>
      <c r="N66" s="85"/>
      <c r="O66" s="85"/>
      <c r="P66" s="85"/>
      <c r="Q66" s="72"/>
      <c r="R66" s="72"/>
      <c r="S66" s="85"/>
      <c r="T66" s="85"/>
      <c r="U66" s="85"/>
    </row>
    <row r="67" spans="1:21" ht="18" customHeight="1">
      <c r="A67" s="9"/>
      <c r="B67" s="1" t="str">
        <f>"    eg. Alfalfa Establishment Cost (with "&amp;'Seed, Fertilizer &amp; Chemicals'!C7&amp;" nurse crop) = ($ "&amp;TEXT(Summary!C41,"0.00")&amp;" - $"&amp;TEXT(Summary!C49,"0.00")&amp;") = $"&amp;TEXT(-Summary!C53,"0.00")&amp;" / "&amp;Production!D16&amp;" = $"&amp;TEXT(Summary!E13,"0.00")&amp;" per acre"</f>
        <v>    eg. Alfalfa Establishment Cost (with Wheat nurse crop) = ($ 317.97 - $221.00) = $96.97 / 4 = $24.24 per acre</v>
      </c>
      <c r="C67" s="72"/>
      <c r="D67" s="72"/>
      <c r="E67" s="72"/>
      <c r="F67" s="72"/>
      <c r="G67" s="85"/>
      <c r="H67" s="72"/>
      <c r="I67" s="72"/>
      <c r="J67" s="72"/>
      <c r="K67" s="72"/>
      <c r="L67" s="85"/>
      <c r="M67" s="72"/>
      <c r="N67" s="85"/>
      <c r="O67" s="85"/>
      <c r="P67" s="85"/>
      <c r="Q67" s="72"/>
      <c r="R67" s="72"/>
      <c r="S67" s="85"/>
      <c r="T67" s="85"/>
      <c r="U67" s="85"/>
    </row>
    <row r="68" spans="1:21" ht="7.5" customHeight="1">
      <c r="A68" s="9"/>
      <c r="B68" s="9"/>
      <c r="C68" s="72"/>
      <c r="D68" s="72"/>
      <c r="E68" s="72"/>
      <c r="F68" s="72"/>
      <c r="G68" s="85"/>
      <c r="H68" s="72"/>
      <c r="I68" s="72"/>
      <c r="J68" s="72"/>
      <c r="K68" s="72"/>
      <c r="L68" s="85"/>
      <c r="M68" s="72"/>
      <c r="N68" s="85"/>
      <c r="O68" s="85"/>
      <c r="P68" s="85"/>
      <c r="Q68" s="72"/>
      <c r="R68" s="72"/>
      <c r="S68" s="85"/>
      <c r="T68" s="85"/>
      <c r="U68" s="85"/>
    </row>
    <row r="69" spans="1:22" ht="18" customHeight="1">
      <c r="A69" s="2"/>
      <c r="B69" s="494" t="s">
        <v>215</v>
      </c>
      <c r="C69" s="494"/>
      <c r="D69" s="494"/>
      <c r="E69" s="494"/>
      <c r="F69" s="494"/>
      <c r="G69" s="494"/>
      <c r="H69" s="494"/>
      <c r="I69" s="494"/>
      <c r="J69" s="494"/>
      <c r="K69" s="494"/>
      <c r="L69" s="494" t="s">
        <v>215</v>
      </c>
      <c r="M69" s="494"/>
      <c r="N69" s="494"/>
      <c r="O69" s="494"/>
      <c r="P69" s="494"/>
      <c r="Q69" s="494"/>
      <c r="R69" s="494"/>
      <c r="S69" s="494"/>
      <c r="T69" s="494"/>
      <c r="U69" s="494"/>
      <c r="V69" s="69"/>
    </row>
    <row r="70" spans="1:22" ht="18">
      <c r="A70" s="69"/>
      <c r="B70" s="494"/>
      <c r="C70" s="494"/>
      <c r="D70" s="494"/>
      <c r="E70" s="494"/>
      <c r="F70" s="494"/>
      <c r="G70" s="494"/>
      <c r="H70" s="494"/>
      <c r="I70" s="494"/>
      <c r="J70" s="494"/>
      <c r="K70" s="494"/>
      <c r="L70" s="494"/>
      <c r="M70" s="494"/>
      <c r="N70" s="494"/>
      <c r="O70" s="494"/>
      <c r="P70" s="494"/>
      <c r="Q70" s="494"/>
      <c r="R70" s="494"/>
      <c r="S70" s="494"/>
      <c r="T70" s="494"/>
      <c r="U70" s="494"/>
      <c r="V70" s="69"/>
    </row>
    <row r="71" spans="1:22" ht="18">
      <c r="A71" s="69"/>
      <c r="B71" s="151"/>
      <c r="C71" s="237"/>
      <c r="D71" s="237"/>
      <c r="E71" s="237"/>
      <c r="F71" s="237"/>
      <c r="G71" s="237"/>
      <c r="H71" s="237"/>
      <c r="I71" s="237"/>
      <c r="J71" s="237"/>
      <c r="K71" s="237"/>
      <c r="L71" s="237"/>
      <c r="M71" s="237"/>
      <c r="N71" s="237"/>
      <c r="O71" s="237"/>
      <c r="P71" s="237"/>
      <c r="Q71" s="237"/>
      <c r="R71" s="237"/>
      <c r="S71" s="237"/>
      <c r="T71" s="237"/>
      <c r="U71" s="151"/>
      <c r="V71" s="69"/>
    </row>
    <row r="72" spans="1:22" s="33" customFormat="1" ht="18">
      <c r="A72" s="10"/>
      <c r="C72" s="148"/>
      <c r="D72" s="148"/>
      <c r="E72" s="148"/>
      <c r="F72" s="148"/>
      <c r="G72" s="148"/>
      <c r="H72" s="148"/>
      <c r="I72" s="148"/>
      <c r="J72" s="148"/>
      <c r="K72" s="148"/>
      <c r="L72" s="148"/>
      <c r="M72" s="148"/>
      <c r="N72" s="148"/>
      <c r="O72" s="148"/>
      <c r="P72" s="148"/>
      <c r="Q72" s="148"/>
      <c r="R72" s="148"/>
      <c r="S72" s="148"/>
      <c r="T72" s="148"/>
      <c r="U72" s="73"/>
      <c r="V72" s="73"/>
    </row>
    <row r="73" ht="7.5" customHeight="1">
      <c r="A73" s="9"/>
    </row>
    <row r="74" ht="18">
      <c r="A74" s="9"/>
    </row>
    <row r="75" ht="18">
      <c r="A75" s="9"/>
    </row>
    <row r="76" ht="18">
      <c r="A76" s="9"/>
    </row>
    <row r="77" ht="18">
      <c r="A77" s="9"/>
    </row>
    <row r="78" ht="7.5" customHeight="1">
      <c r="A78" s="9"/>
    </row>
    <row r="79" ht="18">
      <c r="A79" s="9"/>
    </row>
    <row r="80" ht="18">
      <c r="A80" s="9"/>
    </row>
    <row r="81" ht="18">
      <c r="A81" s="9"/>
    </row>
    <row r="82" ht="18">
      <c r="A82" s="9"/>
    </row>
    <row r="83" ht="7.5" customHeight="1">
      <c r="A83" s="9"/>
    </row>
    <row r="84" ht="18">
      <c r="A84" s="9"/>
    </row>
    <row r="85" ht="18" customHeight="1"/>
  </sheetData>
  <sheetProtection password="C6A6" sheet="1"/>
  <mergeCells count="16">
    <mergeCell ref="L1:U1"/>
    <mergeCell ref="C44:K44"/>
    <mergeCell ref="L44:U44"/>
    <mergeCell ref="A1:K1"/>
    <mergeCell ref="I3:I4"/>
    <mergeCell ref="C3:E4"/>
    <mergeCell ref="N3:O4"/>
    <mergeCell ref="P3:Q4"/>
    <mergeCell ref="R4:T4"/>
    <mergeCell ref="B69:K70"/>
    <mergeCell ref="L69:U70"/>
    <mergeCell ref="F3:H4"/>
    <mergeCell ref="L4:M4"/>
    <mergeCell ref="L3:M3"/>
    <mergeCell ref="J3:K4"/>
    <mergeCell ref="R3:T3"/>
  </mergeCells>
  <printOptions horizontalCentered="1"/>
  <pageMargins left="0.7086614173228347" right="0.7086614173228347" top="0.5511811023622047" bottom="0.5511811023622047" header="0.31496062992125984" footer="0.31496062992125984"/>
  <pageSetup firstPageNumber="2" useFirstPageNumber="1" fitToWidth="2" horizontalDpi="600" verticalDpi="600" orientation="portrait" pageOrder="overThenDown" scale="61" r:id="rId3"/>
  <headerFooter scaleWithDoc="0" alignWithMargins="0">
    <oddHeader>&amp;L&amp;8Guidelines:Forage Seed Production Costs
&amp;R&amp;8&amp;P</oddHeader>
    <oddFooter>&amp;R&amp;9Manitoba Agriculture, Food and Rural Development</oddFooter>
  </headerFooter>
  <colBreaks count="1" manualBreakCount="1">
    <brk id="11" max="68" man="1"/>
  </colBreaks>
  <ignoredErrors>
    <ignoredError sqref="D47 D46 G46 G47 S46 S47" unlockedFormula="1"/>
  </ignoredErrors>
  <legacyDrawing r:id="rId2"/>
</worksheet>
</file>

<file path=xl/worksheets/sheet3.xml><?xml version="1.0" encoding="utf-8"?>
<worksheet xmlns="http://schemas.openxmlformats.org/spreadsheetml/2006/main" xmlns:r="http://schemas.openxmlformats.org/officeDocument/2006/relationships">
  <sheetPr codeName="Sheet10">
    <pageSetUpPr fitToPage="1"/>
  </sheetPr>
  <dimension ref="A1:AJ61"/>
  <sheetViews>
    <sheetView showGridLines="0" zoomScale="80" zoomScaleNormal="80" workbookViewId="0" topLeftCell="A1">
      <selection activeCell="B1" sqref="B1:K1"/>
    </sheetView>
  </sheetViews>
  <sheetFormatPr defaultColWidth="10.28125" defaultRowHeight="12.75"/>
  <cols>
    <col min="1" max="1" width="2.140625" style="1" customWidth="1"/>
    <col min="2" max="2" width="32.00390625" style="1" customWidth="1"/>
    <col min="3" max="6" width="11.28125" style="1" customWidth="1"/>
    <col min="7" max="7" width="12.140625" style="1" customWidth="1"/>
    <col min="8" max="8" width="11.28125" style="1" customWidth="1"/>
    <col min="9" max="9" width="12.140625" style="1" customWidth="1"/>
    <col min="10" max="10" width="11.28125" style="1" customWidth="1"/>
    <col min="11" max="11" width="10.7109375" style="1" customWidth="1"/>
    <col min="12" max="22" width="10.28125" style="1" customWidth="1"/>
    <col min="23" max="32" width="10.28125" style="2" customWidth="1"/>
    <col min="33" max="33" width="11.7109375" style="2" customWidth="1"/>
    <col min="34" max="34" width="11.8515625" style="2" customWidth="1"/>
    <col min="35" max="36" width="12.7109375" style="2" customWidth="1"/>
    <col min="37" max="16384" width="10.28125" style="2" customWidth="1"/>
  </cols>
  <sheetData>
    <row r="1" spans="1:36" ht="18">
      <c r="A1" s="74"/>
      <c r="B1" s="511" t="s">
        <v>84</v>
      </c>
      <c r="C1" s="511"/>
      <c r="D1" s="511"/>
      <c r="E1" s="511"/>
      <c r="F1" s="511"/>
      <c r="G1" s="511"/>
      <c r="H1" s="511"/>
      <c r="I1" s="511"/>
      <c r="J1" s="511"/>
      <c r="K1" s="511"/>
      <c r="L1" s="99"/>
      <c r="M1" s="99"/>
      <c r="N1" s="99"/>
      <c r="O1" s="99"/>
      <c r="P1" s="99"/>
      <c r="Q1" s="99"/>
      <c r="R1" s="99"/>
      <c r="S1" s="99"/>
      <c r="T1" s="99"/>
      <c r="U1" s="99"/>
      <c r="V1" s="99"/>
      <c r="W1" s="74"/>
      <c r="X1" s="74"/>
      <c r="Y1" s="74"/>
      <c r="Z1" s="74"/>
      <c r="AH1" s="24"/>
      <c r="AI1" s="71"/>
      <c r="AJ1" s="24"/>
    </row>
    <row r="2" spans="1:36" ht="18" customHeight="1">
      <c r="A2" s="74"/>
      <c r="C2" s="116"/>
      <c r="D2" s="116"/>
      <c r="E2" s="116"/>
      <c r="F2" s="116"/>
      <c r="G2" s="116"/>
      <c r="H2" s="116"/>
      <c r="I2" s="116"/>
      <c r="J2" s="116"/>
      <c r="K2" s="116"/>
      <c r="L2" s="116"/>
      <c r="M2" s="116"/>
      <c r="N2" s="116"/>
      <c r="O2" s="116"/>
      <c r="P2" s="116"/>
      <c r="Q2" s="116"/>
      <c r="R2" s="116"/>
      <c r="S2" s="116"/>
      <c r="T2" s="116"/>
      <c r="U2" s="116"/>
      <c r="V2" s="116"/>
      <c r="W2" s="74"/>
      <c r="X2" s="74"/>
      <c r="Y2" s="74"/>
      <c r="Z2" s="74"/>
      <c r="AH2" s="24"/>
      <c r="AI2" s="71"/>
      <c r="AJ2" s="24"/>
    </row>
    <row r="3" spans="1:7" ht="18" customHeight="1">
      <c r="A3" s="9"/>
      <c r="B3" s="10"/>
      <c r="C3" s="93"/>
      <c r="D3" s="93"/>
      <c r="E3" s="73"/>
      <c r="F3" s="73"/>
      <c r="G3" s="93"/>
    </row>
    <row r="4" spans="1:36" s="113" customFormat="1" ht="15" customHeight="1">
      <c r="A4" s="238"/>
      <c r="B4" s="238"/>
      <c r="C4" s="238"/>
      <c r="D4" s="238"/>
      <c r="E4" s="238"/>
      <c r="F4" s="238"/>
      <c r="G4" s="238"/>
      <c r="H4" s="238"/>
      <c r="J4" s="238"/>
      <c r="K4" s="238"/>
      <c r="M4" s="103"/>
      <c r="O4" s="103"/>
      <c r="Q4" s="103"/>
      <c r="R4" s="238"/>
      <c r="S4" s="238"/>
      <c r="T4" s="238"/>
      <c r="U4" s="238"/>
      <c r="V4" s="238"/>
      <c r="AG4" s="239"/>
      <c r="AI4" s="240"/>
      <c r="AJ4" s="240"/>
    </row>
    <row r="5" spans="1:12" s="113" customFormat="1" ht="30" customHeight="1">
      <c r="A5" s="238"/>
      <c r="B5" s="238"/>
      <c r="C5" s="241" t="s">
        <v>164</v>
      </c>
      <c r="D5" s="241" t="s">
        <v>166</v>
      </c>
      <c r="E5" s="241" t="s">
        <v>168</v>
      </c>
      <c r="F5" s="241" t="s">
        <v>157</v>
      </c>
      <c r="G5" s="241" t="s">
        <v>171</v>
      </c>
      <c r="H5" s="241" t="s">
        <v>173</v>
      </c>
      <c r="I5" s="241" t="s">
        <v>175</v>
      </c>
      <c r="J5" s="241" t="s">
        <v>132</v>
      </c>
      <c r="K5" s="238"/>
      <c r="L5" s="238"/>
    </row>
    <row r="6" spans="1:11" s="101" customFormat="1" ht="15">
      <c r="A6" s="100"/>
      <c r="B6" s="100"/>
      <c r="C6" s="110"/>
      <c r="D6" s="106"/>
      <c r="E6" s="106"/>
      <c r="F6" s="106"/>
      <c r="G6" s="106"/>
      <c r="H6" s="106"/>
      <c r="I6" s="108"/>
      <c r="J6" s="111"/>
      <c r="K6" s="111"/>
    </row>
    <row r="7" spans="1:22" ht="18">
      <c r="A7" s="10" t="str">
        <f>Summary!A10</f>
        <v>A.  Operating Costs</v>
      </c>
      <c r="C7" s="92">
        <f>Summary!E29</f>
        <v>431.7545006560113</v>
      </c>
      <c r="D7" s="92">
        <f>Summary!H29</f>
        <v>171.87562812357683</v>
      </c>
      <c r="E7" s="92">
        <f>Summary!I29</f>
        <v>194.70314890297706</v>
      </c>
      <c r="F7" s="92">
        <f>Summary!K29</f>
        <v>202.26997144642954</v>
      </c>
      <c r="G7" s="92">
        <f>Summary!M29</f>
        <v>282.3467512759227</v>
      </c>
      <c r="H7" s="92">
        <f>Summary!O29</f>
        <v>162.44019806265442</v>
      </c>
      <c r="I7" s="92">
        <f>Summary!Q29</f>
        <v>156.5046704643163</v>
      </c>
      <c r="J7" s="92">
        <f>Summary!T29</f>
        <v>223.56428979718532</v>
      </c>
      <c r="K7" s="92"/>
      <c r="M7" s="2"/>
      <c r="N7" s="2"/>
      <c r="O7" s="2"/>
      <c r="P7" s="2"/>
      <c r="Q7" s="2"/>
      <c r="R7" s="2"/>
      <c r="S7" s="2"/>
      <c r="T7" s="2"/>
      <c r="U7" s="2"/>
      <c r="V7" s="2"/>
    </row>
    <row r="8" spans="1:22" ht="18">
      <c r="A8" s="10" t="str">
        <f>Summary!A31</f>
        <v>B.   Fixed Costs</v>
      </c>
      <c r="C8" s="92">
        <f>Summary!E36</f>
        <v>109.97847916666667</v>
      </c>
      <c r="D8" s="92">
        <f>Summary!H36</f>
        <v>110.30878472222223</v>
      </c>
      <c r="E8" s="92">
        <f>Summary!I36</f>
        <v>114.60651041666667</v>
      </c>
      <c r="F8" s="92">
        <f>Summary!K36</f>
        <v>109.82083333333334</v>
      </c>
      <c r="G8" s="92">
        <f>Summary!M36</f>
        <v>113.76197916666666</v>
      </c>
      <c r="H8" s="92">
        <f>Summary!O36</f>
        <v>111.71463068181818</v>
      </c>
      <c r="I8" s="92">
        <f>Summary!Q36</f>
        <v>109.70822916666667</v>
      </c>
      <c r="J8" s="92">
        <f>Summary!T36</f>
        <v>113.31156250000001</v>
      </c>
      <c r="K8" s="92"/>
      <c r="M8" s="2"/>
      <c r="N8" s="2"/>
      <c r="O8" s="2"/>
      <c r="P8" s="2"/>
      <c r="Q8" s="2"/>
      <c r="R8" s="2"/>
      <c r="S8" s="2"/>
      <c r="T8" s="2"/>
      <c r="U8" s="2"/>
      <c r="V8" s="2"/>
    </row>
    <row r="9" spans="1:22" ht="18">
      <c r="A9" s="10" t="str">
        <f>Summary!A41</f>
        <v>Total Costs</v>
      </c>
      <c r="C9" s="92">
        <f>Summary!E41</f>
        <v>571.732979822678</v>
      </c>
      <c r="D9" s="92">
        <f>Summary!H41</f>
        <v>312.18441284579905</v>
      </c>
      <c r="E9" s="92">
        <f>Summary!I41</f>
        <v>339.30965931964374</v>
      </c>
      <c r="F9" s="92">
        <f>Summary!K41</f>
        <v>342.0908047797629</v>
      </c>
      <c r="G9" s="92">
        <f>Summary!M41</f>
        <v>426.1087304425894</v>
      </c>
      <c r="H9" s="92">
        <f>Summary!O41</f>
        <v>304.1548287444726</v>
      </c>
      <c r="I9" s="92">
        <f>Summary!Q41</f>
        <v>296.212899630983</v>
      </c>
      <c r="J9" s="92">
        <f>Summary!T41</f>
        <v>366.88</v>
      </c>
      <c r="K9" s="92"/>
      <c r="M9" s="2"/>
      <c r="N9" s="2"/>
      <c r="O9" s="2"/>
      <c r="P9" s="2"/>
      <c r="Q9" s="2"/>
      <c r="R9" s="2"/>
      <c r="S9" s="2"/>
      <c r="T9" s="2"/>
      <c r="U9" s="2"/>
      <c r="V9" s="2"/>
    </row>
    <row r="10" spans="1:22" ht="18">
      <c r="A10" s="10"/>
      <c r="C10" s="92"/>
      <c r="D10" s="92"/>
      <c r="E10" s="92"/>
      <c r="F10" s="92"/>
      <c r="G10" s="92"/>
      <c r="H10" s="92"/>
      <c r="I10" s="92"/>
      <c r="J10" s="92"/>
      <c r="K10" s="92"/>
      <c r="M10" s="2"/>
      <c r="N10" s="2"/>
      <c r="O10" s="2"/>
      <c r="P10" s="2"/>
      <c r="Q10" s="2"/>
      <c r="R10" s="2"/>
      <c r="S10" s="2"/>
      <c r="T10" s="2"/>
      <c r="U10" s="2"/>
      <c r="V10" s="2"/>
    </row>
    <row r="11" spans="1:22" ht="18">
      <c r="A11" s="74" t="s">
        <v>68</v>
      </c>
      <c r="C11" s="74"/>
      <c r="D11" s="74"/>
      <c r="E11" s="2"/>
      <c r="F11" s="74"/>
      <c r="G11" s="74"/>
      <c r="H11" s="74"/>
      <c r="I11" s="74"/>
      <c r="J11" s="74"/>
      <c r="K11" s="74"/>
      <c r="L11" s="74"/>
      <c r="M11" s="74"/>
      <c r="N11" s="74"/>
      <c r="O11" s="74"/>
      <c r="P11" s="74"/>
      <c r="Q11" s="74"/>
      <c r="R11" s="2"/>
      <c r="S11" s="2"/>
      <c r="T11" s="2"/>
      <c r="U11" s="2"/>
      <c r="V11" s="2"/>
    </row>
    <row r="12" spans="1:22" ht="18">
      <c r="A12" s="9"/>
      <c r="B12" s="72" t="s">
        <v>79</v>
      </c>
      <c r="C12" s="76">
        <f>Summary!E46</f>
        <v>1.85</v>
      </c>
      <c r="D12" s="76">
        <f>Summary!H46</f>
        <v>0.9</v>
      </c>
      <c r="E12" s="76">
        <f>Summary!I46</f>
        <v>0.27</v>
      </c>
      <c r="F12" s="76">
        <f>Summary!K46</f>
        <v>0.9</v>
      </c>
      <c r="G12" s="76">
        <f>Summary!M46</f>
        <v>0.55</v>
      </c>
      <c r="H12" s="76">
        <f>Summary!O46</f>
        <v>1</v>
      </c>
      <c r="I12" s="76">
        <f>Summary!Q46</f>
        <v>1.85</v>
      </c>
      <c r="J12" s="76">
        <f>Summary!T46</f>
        <v>0.5</v>
      </c>
      <c r="K12" s="90"/>
      <c r="M12" s="2"/>
      <c r="N12" s="2"/>
      <c r="O12" s="2"/>
      <c r="P12" s="2"/>
      <c r="Q12" s="2"/>
      <c r="R12" s="2"/>
      <c r="S12" s="2"/>
      <c r="T12" s="2"/>
      <c r="U12" s="2"/>
      <c r="V12" s="2"/>
    </row>
    <row r="13" spans="1:12" s="3" customFormat="1" ht="18">
      <c r="A13" s="72"/>
      <c r="B13" s="72" t="s">
        <v>91</v>
      </c>
      <c r="C13" s="250">
        <f>Summary!E47</f>
        <v>320</v>
      </c>
      <c r="D13" s="250">
        <f>Summary!H47</f>
        <v>350</v>
      </c>
      <c r="E13" s="250">
        <f>Summary!I47</f>
        <v>950</v>
      </c>
      <c r="F13" s="250">
        <f>Summary!K47</f>
        <v>250</v>
      </c>
      <c r="G13" s="250">
        <f>Summary!M47</f>
        <v>800</v>
      </c>
      <c r="H13" s="250">
        <f>Summary!O47</f>
        <v>400</v>
      </c>
      <c r="I13" s="250">
        <f>Summary!Q47</f>
        <v>200</v>
      </c>
      <c r="J13" s="250">
        <f>Summary!T47</f>
        <v>750</v>
      </c>
      <c r="K13" s="91"/>
      <c r="L13" s="80"/>
    </row>
    <row r="14" spans="1:12" s="3" customFormat="1" ht="18">
      <c r="A14" s="72"/>
      <c r="B14" s="72" t="s">
        <v>94</v>
      </c>
      <c r="C14" s="102" t="s">
        <v>9</v>
      </c>
      <c r="D14" s="102" t="s">
        <v>9</v>
      </c>
      <c r="E14" s="102" t="s">
        <v>9</v>
      </c>
      <c r="F14" s="102" t="s">
        <v>9</v>
      </c>
      <c r="G14" s="102" t="s">
        <v>9</v>
      </c>
      <c r="H14" s="102" t="s">
        <v>9</v>
      </c>
      <c r="I14" s="102" t="s">
        <v>9</v>
      </c>
      <c r="J14" s="102" t="s">
        <v>9</v>
      </c>
      <c r="K14" s="102"/>
      <c r="L14" s="80"/>
    </row>
    <row r="15" spans="1:12" s="3" customFormat="1" ht="9" customHeight="1">
      <c r="A15" s="72"/>
      <c r="B15" s="72"/>
      <c r="C15" s="102"/>
      <c r="D15" s="102"/>
      <c r="E15" s="102"/>
      <c r="F15" s="102"/>
      <c r="G15" s="102"/>
      <c r="H15" s="102"/>
      <c r="I15" s="102"/>
      <c r="J15" s="102"/>
      <c r="K15" s="102"/>
      <c r="L15" s="80"/>
    </row>
    <row r="16" spans="1:36" s="3" customFormat="1" ht="9" customHeight="1">
      <c r="A16" s="72"/>
      <c r="B16" s="285"/>
      <c r="C16" s="286"/>
      <c r="D16" s="286"/>
      <c r="E16" s="286"/>
      <c r="F16" s="286"/>
      <c r="G16" s="286"/>
      <c r="H16" s="286"/>
      <c r="I16" s="286"/>
      <c r="J16" s="286"/>
      <c r="K16" s="286"/>
      <c r="L16" s="102"/>
      <c r="M16" s="102"/>
      <c r="N16" s="102"/>
      <c r="O16" s="102"/>
      <c r="P16" s="102"/>
      <c r="Q16" s="102"/>
      <c r="R16" s="102"/>
      <c r="S16" s="102"/>
      <c r="T16" s="102"/>
      <c r="U16" s="102"/>
      <c r="V16" s="80"/>
      <c r="AG16" s="59"/>
      <c r="AH16" s="59"/>
      <c r="AI16" s="59"/>
      <c r="AJ16" s="59"/>
    </row>
    <row r="17" spans="1:22" ht="18">
      <c r="A17" s="2"/>
      <c r="B17" s="287"/>
      <c r="C17" s="288" t="s">
        <v>90</v>
      </c>
      <c r="D17" s="288" t="s">
        <v>86</v>
      </c>
      <c r="E17" s="287"/>
      <c r="F17" s="287"/>
      <c r="G17" s="289"/>
      <c r="H17" s="287"/>
      <c r="I17" s="288" t="s">
        <v>90</v>
      </c>
      <c r="J17" s="288" t="s">
        <v>86</v>
      </c>
      <c r="K17" s="287"/>
      <c r="Q17" s="75"/>
      <c r="R17" s="75"/>
      <c r="S17" s="41"/>
      <c r="T17" s="41"/>
      <c r="U17" s="75"/>
      <c r="V17" s="75"/>
    </row>
    <row r="18" spans="1:22" ht="18">
      <c r="A18" s="9"/>
      <c r="B18" s="290" t="s">
        <v>85</v>
      </c>
      <c r="C18" s="293">
        <v>0.05</v>
      </c>
      <c r="D18" s="293">
        <v>0.1</v>
      </c>
      <c r="E18" s="289"/>
      <c r="F18" s="291"/>
      <c r="G18" s="289"/>
      <c r="H18" s="290" t="s">
        <v>87</v>
      </c>
      <c r="I18" s="293">
        <v>0.1</v>
      </c>
      <c r="J18" s="293">
        <v>0.1</v>
      </c>
      <c r="K18" s="287"/>
      <c r="Q18" s="112"/>
      <c r="R18" s="112"/>
      <c r="S18" s="113"/>
      <c r="T18" s="114"/>
      <c r="U18" s="112"/>
      <c r="V18" s="112"/>
    </row>
    <row r="19" spans="1:22" ht="9" customHeight="1">
      <c r="A19" s="9"/>
      <c r="B19" s="290"/>
      <c r="C19" s="292"/>
      <c r="D19" s="292"/>
      <c r="E19" s="289"/>
      <c r="F19" s="291"/>
      <c r="G19" s="289"/>
      <c r="H19" s="290"/>
      <c r="I19" s="292"/>
      <c r="J19" s="292"/>
      <c r="K19" s="287"/>
      <c r="Q19" s="112"/>
      <c r="R19" s="112"/>
      <c r="S19" s="113"/>
      <c r="T19" s="114"/>
      <c r="U19" s="112"/>
      <c r="V19" s="112"/>
    </row>
    <row r="20" spans="1:36" s="3" customFormat="1" ht="9" customHeight="1">
      <c r="A20" s="72"/>
      <c r="B20" s="72"/>
      <c r="C20" s="102"/>
      <c r="D20" s="102"/>
      <c r="E20" s="102"/>
      <c r="F20" s="102"/>
      <c r="G20" s="102"/>
      <c r="H20" s="102"/>
      <c r="I20" s="102"/>
      <c r="J20" s="102"/>
      <c r="K20" s="102"/>
      <c r="L20" s="102"/>
      <c r="M20" s="102"/>
      <c r="N20" s="102"/>
      <c r="O20" s="102"/>
      <c r="P20" s="102"/>
      <c r="Q20" s="102"/>
      <c r="R20" s="102"/>
      <c r="S20" s="102"/>
      <c r="T20" s="102"/>
      <c r="U20" s="102"/>
      <c r="V20" s="80"/>
      <c r="AG20" s="59"/>
      <c r="AH20" s="59"/>
      <c r="AI20" s="59"/>
      <c r="AJ20" s="59"/>
    </row>
    <row r="21" spans="1:12" s="33" customFormat="1" ht="18" customHeight="1">
      <c r="A21" s="10"/>
      <c r="B21" s="96" t="s">
        <v>207</v>
      </c>
      <c r="C21" s="53">
        <f>SUM(C12*(1+C18))</f>
        <v>1.9425000000000001</v>
      </c>
      <c r="D21" s="53">
        <f>SUM(D12*(1+C18))</f>
        <v>0.9450000000000001</v>
      </c>
      <c r="E21" s="53">
        <f>SUM(E12*(1+C18))</f>
        <v>0.28350000000000003</v>
      </c>
      <c r="F21" s="53">
        <f>SUM(F12*(1+C18))</f>
        <v>0.9450000000000001</v>
      </c>
      <c r="G21" s="53">
        <f>SUM(G12*(1+C18))</f>
        <v>0.5775000000000001</v>
      </c>
      <c r="H21" s="53">
        <f>SUM(H12*(1+C18))</f>
        <v>1.05</v>
      </c>
      <c r="I21" s="53">
        <f>SUM(I12*(1+C18))</f>
        <v>1.9425000000000001</v>
      </c>
      <c r="J21" s="53">
        <f>SUM(J12*(1+C18))</f>
        <v>0.525</v>
      </c>
      <c r="K21" s="53"/>
      <c r="L21" s="73"/>
    </row>
    <row r="22" spans="1:12" s="33" customFormat="1" ht="18" customHeight="1">
      <c r="A22" s="10"/>
      <c r="B22" s="96" t="s">
        <v>208</v>
      </c>
      <c r="C22" s="53">
        <f>SUM(C12*(1-D18))</f>
        <v>1.665</v>
      </c>
      <c r="D22" s="53">
        <f>SUM(D12*(1-D18))</f>
        <v>0.81</v>
      </c>
      <c r="E22" s="53">
        <f>SUM(E12*(1-D18))</f>
        <v>0.24300000000000002</v>
      </c>
      <c r="F22" s="53">
        <f>SUM(F12*(1-D18))</f>
        <v>0.81</v>
      </c>
      <c r="G22" s="53">
        <f>SUM(G12*(1-D18))</f>
        <v>0.49500000000000005</v>
      </c>
      <c r="H22" s="53">
        <f>SUM(H12*(1-D18))</f>
        <v>0.9</v>
      </c>
      <c r="I22" s="53">
        <f>SUM(I12*(1-D18))</f>
        <v>1.665</v>
      </c>
      <c r="J22" s="53">
        <f>SUM(J12*(1-D18))</f>
        <v>0.45</v>
      </c>
      <c r="K22" s="53"/>
      <c r="L22" s="73"/>
    </row>
    <row r="23" spans="1:12" s="33" customFormat="1" ht="18" customHeight="1">
      <c r="A23" s="10"/>
      <c r="B23" s="96" t="s">
        <v>103</v>
      </c>
      <c r="C23" s="87">
        <f>SUM(C13*(1+I18))</f>
        <v>352</v>
      </c>
      <c r="D23" s="87">
        <f>SUM(D13*(1+I18))</f>
        <v>385.00000000000006</v>
      </c>
      <c r="E23" s="87">
        <f>SUM(E13*(1+I18))</f>
        <v>1045</v>
      </c>
      <c r="F23" s="87">
        <f>SUM(F13*(1+I18))</f>
        <v>275</v>
      </c>
      <c r="G23" s="87">
        <f>SUM(G13*(1+I18))</f>
        <v>880.0000000000001</v>
      </c>
      <c r="H23" s="87">
        <f>SUM(H13*(1+I18))</f>
        <v>440.00000000000006</v>
      </c>
      <c r="I23" s="87">
        <f>SUM(I13*(1+I18))</f>
        <v>220.00000000000003</v>
      </c>
      <c r="J23" s="87">
        <f>SUM(J13*(1+I18))</f>
        <v>825.0000000000001</v>
      </c>
      <c r="K23" s="98"/>
      <c r="L23" s="73"/>
    </row>
    <row r="24" spans="1:12" s="33" customFormat="1" ht="18" customHeight="1">
      <c r="A24" s="10"/>
      <c r="B24" s="96" t="s">
        <v>104</v>
      </c>
      <c r="C24" s="87">
        <f>SUM(C13*(1-J18))</f>
        <v>288</v>
      </c>
      <c r="D24" s="87">
        <f>SUM(D13*(1-J18))</f>
        <v>315</v>
      </c>
      <c r="E24" s="87">
        <f>SUM(E13*(1-J18))</f>
        <v>855</v>
      </c>
      <c r="F24" s="87">
        <f>SUM(F13*(1-J18))</f>
        <v>225</v>
      </c>
      <c r="G24" s="87">
        <f>SUM(G13*(1-J18))</f>
        <v>720</v>
      </c>
      <c r="H24" s="87">
        <f>SUM(H13*(1-J18))</f>
        <v>360</v>
      </c>
      <c r="I24" s="87">
        <f>SUM(I13*(1-J18))</f>
        <v>180</v>
      </c>
      <c r="J24" s="87">
        <f>SUM(J13*(1-J18))</f>
        <v>675</v>
      </c>
      <c r="K24" s="98"/>
      <c r="L24" s="73"/>
    </row>
    <row r="25" spans="1:14" s="33" customFormat="1" ht="18" customHeight="1">
      <c r="A25" s="10"/>
      <c r="B25" s="96"/>
      <c r="C25" s="98"/>
      <c r="D25" s="98"/>
      <c r="E25" s="98"/>
      <c r="F25" s="98"/>
      <c r="G25" s="98"/>
      <c r="H25" s="98"/>
      <c r="I25" s="98"/>
      <c r="J25" s="98"/>
      <c r="K25" s="98"/>
      <c r="L25" s="98"/>
      <c r="M25" s="98"/>
      <c r="N25" s="73"/>
    </row>
    <row r="26" spans="1:22" ht="18" customHeight="1">
      <c r="A26" s="9"/>
      <c r="T26" s="2"/>
      <c r="U26" s="2"/>
      <c r="V26" s="2"/>
    </row>
    <row r="27" spans="1:33" s="33" customFormat="1" ht="18">
      <c r="A27" s="95" t="str">
        <f>"Higher Margin Scenario - Price Up "&amp;C18*100&amp;"% and Yield Up "&amp;I18*100&amp;"%"</f>
        <v>Higher Margin Scenario - Price Up 5% and Yield Up 10%</v>
      </c>
      <c r="B27" s="73"/>
      <c r="C27" s="76"/>
      <c r="D27" s="74"/>
      <c r="E27" s="74"/>
      <c r="F27" s="74"/>
      <c r="G27" s="74"/>
      <c r="H27" s="74"/>
      <c r="I27" s="74"/>
      <c r="J27" s="74"/>
      <c r="K27" s="74"/>
      <c r="L27" s="74"/>
      <c r="M27" s="74"/>
      <c r="N27" s="74"/>
      <c r="O27" s="74"/>
      <c r="P27" s="74"/>
      <c r="Q27" s="74"/>
      <c r="R27" s="74"/>
      <c r="S27" s="74"/>
      <c r="T27" s="74"/>
      <c r="U27" s="74"/>
      <c r="V27" s="74"/>
      <c r="W27" s="74"/>
      <c r="X27" s="74"/>
      <c r="AE27" s="24"/>
      <c r="AF27" s="71"/>
      <c r="AG27" s="24"/>
    </row>
    <row r="28" spans="1:22" ht="18">
      <c r="A28" s="9"/>
      <c r="B28" s="74" t="s">
        <v>80</v>
      </c>
      <c r="C28" s="53">
        <f aca="true" t="shared" si="0" ref="C28:J28">SUM(C21*C23)</f>
        <v>683.76</v>
      </c>
      <c r="D28" s="53">
        <f t="shared" si="0"/>
        <v>363.8250000000001</v>
      </c>
      <c r="E28" s="53">
        <f t="shared" si="0"/>
        <v>296.25750000000005</v>
      </c>
      <c r="F28" s="53">
        <f t="shared" si="0"/>
        <v>259.875</v>
      </c>
      <c r="G28" s="53">
        <f t="shared" si="0"/>
        <v>508.20000000000016</v>
      </c>
      <c r="H28" s="53">
        <f t="shared" si="0"/>
        <v>462.00000000000006</v>
      </c>
      <c r="I28" s="53">
        <f t="shared" si="0"/>
        <v>427.3500000000001</v>
      </c>
      <c r="J28" s="53">
        <f t="shared" si="0"/>
        <v>433.12500000000006</v>
      </c>
      <c r="K28" s="53"/>
      <c r="M28" s="2"/>
      <c r="N28" s="2"/>
      <c r="O28" s="2"/>
      <c r="P28" s="2"/>
      <c r="Q28" s="2"/>
      <c r="R28" s="2"/>
      <c r="S28" s="2"/>
      <c r="T28" s="2"/>
      <c r="U28" s="2"/>
      <c r="V28" s="2"/>
    </row>
    <row r="29" spans="1:22" ht="18">
      <c r="A29" s="2"/>
      <c r="B29" s="74" t="s">
        <v>69</v>
      </c>
      <c r="C29" s="72"/>
      <c r="D29" s="72"/>
      <c r="E29" s="72"/>
      <c r="F29" s="72"/>
      <c r="G29" s="72"/>
      <c r="H29" s="72"/>
      <c r="I29" s="72"/>
      <c r="J29" s="72"/>
      <c r="K29" s="72"/>
      <c r="M29" s="2"/>
      <c r="N29" s="2"/>
      <c r="O29" s="2"/>
      <c r="P29" s="2"/>
      <c r="Q29" s="2"/>
      <c r="R29" s="2"/>
      <c r="S29" s="2"/>
      <c r="T29" s="2"/>
      <c r="U29" s="2"/>
      <c r="V29" s="2"/>
    </row>
    <row r="30" spans="1:22" ht="18">
      <c r="A30" s="9"/>
      <c r="B30" s="97" t="s">
        <v>88</v>
      </c>
      <c r="C30" s="82">
        <f aca="true" t="shared" si="1" ref="C30:J30">SUM(C28-C7)</f>
        <v>252.00549934398867</v>
      </c>
      <c r="D30" s="82">
        <f t="shared" si="1"/>
        <v>191.94937187642327</v>
      </c>
      <c r="E30" s="82">
        <f t="shared" si="1"/>
        <v>101.55435109702299</v>
      </c>
      <c r="F30" s="82">
        <f t="shared" si="1"/>
        <v>57.60502855357046</v>
      </c>
      <c r="G30" s="82">
        <f t="shared" si="1"/>
        <v>225.85324872407745</v>
      </c>
      <c r="H30" s="82">
        <f t="shared" si="1"/>
        <v>299.55980193734564</v>
      </c>
      <c r="I30" s="82">
        <f t="shared" si="1"/>
        <v>270.8453295356838</v>
      </c>
      <c r="J30" s="82">
        <f t="shared" si="1"/>
        <v>209.56071020281473</v>
      </c>
      <c r="K30" s="82"/>
      <c r="M30" s="2"/>
      <c r="N30" s="2"/>
      <c r="O30" s="2"/>
      <c r="P30" s="2"/>
      <c r="Q30" s="2"/>
      <c r="R30" s="2"/>
      <c r="S30" s="2"/>
      <c r="T30" s="2"/>
      <c r="U30" s="2"/>
      <c r="V30" s="2"/>
    </row>
    <row r="31" spans="1:22" ht="18">
      <c r="A31" s="9"/>
      <c r="B31" s="97" t="s">
        <v>89</v>
      </c>
      <c r="C31" s="82">
        <f aca="true" t="shared" si="2" ref="C31:J31">SUM(C28-C9)</f>
        <v>112.02702017732202</v>
      </c>
      <c r="D31" s="82">
        <f t="shared" si="2"/>
        <v>51.64058715420106</v>
      </c>
      <c r="E31" s="82">
        <f t="shared" si="2"/>
        <v>-43.05215931964369</v>
      </c>
      <c r="F31" s="82">
        <f t="shared" si="2"/>
        <v>-82.21580477976289</v>
      </c>
      <c r="G31" s="82">
        <f t="shared" si="2"/>
        <v>82.09126955741078</v>
      </c>
      <c r="H31" s="82">
        <f t="shared" si="2"/>
        <v>157.84517125552748</v>
      </c>
      <c r="I31" s="82">
        <f t="shared" si="2"/>
        <v>131.1371003690171</v>
      </c>
      <c r="J31" s="82">
        <f t="shared" si="2"/>
        <v>66.24500000000006</v>
      </c>
      <c r="K31" s="82"/>
      <c r="M31" s="2"/>
      <c r="N31" s="2"/>
      <c r="O31" s="2"/>
      <c r="P31" s="2"/>
      <c r="Q31" s="2"/>
      <c r="R31" s="2"/>
      <c r="S31" s="2"/>
      <c r="T31" s="2"/>
      <c r="U31" s="2"/>
      <c r="V31" s="2"/>
    </row>
    <row r="32" spans="1:12" s="33" customFormat="1" ht="18">
      <c r="A32" s="10"/>
      <c r="B32" s="74" t="s">
        <v>83</v>
      </c>
      <c r="C32" s="88">
        <f>RANK(C31,C31:K31)</f>
        <v>3</v>
      </c>
      <c r="D32" s="88">
        <f>RANK(D31,C31:K31)</f>
        <v>6</v>
      </c>
      <c r="E32" s="88">
        <f>RANK(E31,C31:K31)</f>
        <v>7</v>
      </c>
      <c r="F32" s="88">
        <f>RANK(F31,C31:K31)</f>
        <v>8</v>
      </c>
      <c r="G32" s="88">
        <f>RANK(G31,C31:K31)</f>
        <v>4</v>
      </c>
      <c r="H32" s="88">
        <f>RANK(H31,C31:K31)</f>
        <v>1</v>
      </c>
      <c r="I32" s="88">
        <f>RANK(I31,C31:K31)</f>
        <v>2</v>
      </c>
      <c r="J32" s="88">
        <f>RANK(J31,C31:K31)</f>
        <v>5</v>
      </c>
      <c r="K32" s="88"/>
      <c r="L32" s="73"/>
    </row>
    <row r="33" spans="1:22" ht="18">
      <c r="A33" s="9"/>
      <c r="B33" s="74" t="s">
        <v>77</v>
      </c>
      <c r="C33" s="94">
        <f aca="true" t="shared" si="3" ref="C33:J33">SUM(C7/C28)</f>
        <v>0.6314415886510052</v>
      </c>
      <c r="D33" s="94">
        <f t="shared" si="3"/>
        <v>0.4724129131411442</v>
      </c>
      <c r="E33" s="94">
        <f t="shared" si="3"/>
        <v>0.6572091808746683</v>
      </c>
      <c r="F33" s="94">
        <f t="shared" si="3"/>
        <v>0.7783356284614893</v>
      </c>
      <c r="G33" s="94">
        <f t="shared" si="3"/>
        <v>0.5555819584335353</v>
      </c>
      <c r="H33" s="94">
        <f t="shared" si="3"/>
        <v>0.3516021603087757</v>
      </c>
      <c r="I33" s="94">
        <f t="shared" si="3"/>
        <v>0.36622129510779516</v>
      </c>
      <c r="J33" s="94">
        <f t="shared" si="3"/>
        <v>0.5161657484494898</v>
      </c>
      <c r="K33" s="94"/>
      <c r="M33" s="2"/>
      <c r="N33" s="2"/>
      <c r="O33" s="2"/>
      <c r="P33" s="2"/>
      <c r="Q33" s="2"/>
      <c r="R33" s="2"/>
      <c r="S33" s="2"/>
      <c r="T33" s="2"/>
      <c r="U33" s="2"/>
      <c r="V33" s="2"/>
    </row>
    <row r="34" spans="1:33" s="33" customFormat="1" ht="18">
      <c r="A34" s="10"/>
      <c r="B34" s="74"/>
      <c r="C34" s="83"/>
      <c r="D34" s="83"/>
      <c r="E34" s="83"/>
      <c r="F34" s="83"/>
      <c r="G34" s="83"/>
      <c r="H34" s="83"/>
      <c r="I34" s="83"/>
      <c r="J34" s="83"/>
      <c r="K34" s="83"/>
      <c r="L34" s="83"/>
      <c r="M34" s="83"/>
      <c r="N34" s="83"/>
      <c r="O34" s="83"/>
      <c r="P34" s="83"/>
      <c r="Q34" s="83"/>
      <c r="R34" s="83"/>
      <c r="S34" s="73"/>
      <c r="AD34" s="66"/>
      <c r="AE34" s="66"/>
      <c r="AF34" s="66"/>
      <c r="AG34" s="66"/>
    </row>
    <row r="35" spans="1:22" ht="18" customHeight="1">
      <c r="A35" s="9"/>
      <c r="T35" s="2"/>
      <c r="U35" s="2"/>
      <c r="V35" s="2"/>
    </row>
    <row r="36" spans="1:33" s="33" customFormat="1" ht="18">
      <c r="A36" s="95" t="str">
        <f>"Lower Margin Scenario - Price Down "&amp;D18*100&amp;"% and Yield Down "&amp;J18*100&amp;"%"</f>
        <v>Lower Margin Scenario - Price Down 10% and Yield Down 10%</v>
      </c>
      <c r="B36" s="73"/>
      <c r="C36" s="76"/>
      <c r="D36" s="76"/>
      <c r="E36" s="76"/>
      <c r="F36" s="76"/>
      <c r="G36" s="76"/>
      <c r="H36" s="76"/>
      <c r="I36" s="76"/>
      <c r="J36" s="76"/>
      <c r="K36" s="76"/>
      <c r="L36" s="76"/>
      <c r="M36" s="76"/>
      <c r="N36" s="76"/>
      <c r="O36" s="76"/>
      <c r="P36" s="76"/>
      <c r="Q36" s="76"/>
      <c r="R36" s="76"/>
      <c r="S36" s="74"/>
      <c r="T36" s="74"/>
      <c r="U36" s="74"/>
      <c r="V36" s="74"/>
      <c r="W36" s="74"/>
      <c r="X36" s="74"/>
      <c r="AE36" s="24"/>
      <c r="AF36" s="71"/>
      <c r="AG36" s="24"/>
    </row>
    <row r="37" spans="1:22" ht="18">
      <c r="A37" s="9"/>
      <c r="B37" s="74" t="s">
        <v>80</v>
      </c>
      <c r="C37" s="53">
        <f aca="true" t="shared" si="4" ref="C37:J37">C22*C24</f>
        <v>479.52</v>
      </c>
      <c r="D37" s="53">
        <f t="shared" si="4"/>
        <v>255.15</v>
      </c>
      <c r="E37" s="53">
        <f t="shared" si="4"/>
        <v>207.76500000000001</v>
      </c>
      <c r="F37" s="53">
        <f t="shared" si="4"/>
        <v>182.25</v>
      </c>
      <c r="G37" s="53">
        <f t="shared" si="4"/>
        <v>356.40000000000003</v>
      </c>
      <c r="H37" s="53">
        <f t="shared" si="4"/>
        <v>324</v>
      </c>
      <c r="I37" s="53">
        <f t="shared" si="4"/>
        <v>299.7</v>
      </c>
      <c r="J37" s="53">
        <f t="shared" si="4"/>
        <v>303.75</v>
      </c>
      <c r="K37" s="53"/>
      <c r="M37" s="2"/>
      <c r="N37" s="2"/>
      <c r="O37" s="2"/>
      <c r="P37" s="2"/>
      <c r="Q37" s="2"/>
      <c r="R37" s="2"/>
      <c r="S37" s="2"/>
      <c r="T37" s="2"/>
      <c r="U37" s="2"/>
      <c r="V37" s="2"/>
    </row>
    <row r="38" spans="1:22" ht="18">
      <c r="A38" s="2"/>
      <c r="B38" s="74" t="s">
        <v>69</v>
      </c>
      <c r="C38" s="72"/>
      <c r="D38" s="72"/>
      <c r="E38" s="72"/>
      <c r="F38" s="72"/>
      <c r="G38" s="72"/>
      <c r="H38" s="72"/>
      <c r="I38" s="72"/>
      <c r="J38" s="72"/>
      <c r="K38" s="72"/>
      <c r="M38" s="2"/>
      <c r="N38" s="2"/>
      <c r="O38" s="2"/>
      <c r="P38" s="2"/>
      <c r="Q38" s="2"/>
      <c r="R38" s="2"/>
      <c r="S38" s="2"/>
      <c r="T38" s="2"/>
      <c r="U38" s="2"/>
      <c r="V38" s="2"/>
    </row>
    <row r="39" spans="1:22" ht="18">
      <c r="A39" s="9"/>
      <c r="B39" s="97" t="s">
        <v>88</v>
      </c>
      <c r="C39" s="82">
        <f aca="true" t="shared" si="5" ref="C39:J39">SUM(C37-C7)</f>
        <v>47.765499343988665</v>
      </c>
      <c r="D39" s="82">
        <f t="shared" si="5"/>
        <v>83.27437187642317</v>
      </c>
      <c r="E39" s="82">
        <f t="shared" si="5"/>
        <v>13.061851097022952</v>
      </c>
      <c r="F39" s="82">
        <f t="shared" si="5"/>
        <v>-20.019971446429537</v>
      </c>
      <c r="G39" s="82">
        <f t="shared" si="5"/>
        <v>74.05324872407732</v>
      </c>
      <c r="H39" s="82">
        <f t="shared" si="5"/>
        <v>161.55980193734558</v>
      </c>
      <c r="I39" s="82">
        <f t="shared" si="5"/>
        <v>143.1953295356837</v>
      </c>
      <c r="J39" s="82">
        <f t="shared" si="5"/>
        <v>80.18571020281468</v>
      </c>
      <c r="K39" s="82"/>
      <c r="M39" s="2"/>
      <c r="N39" s="2"/>
      <c r="O39" s="2"/>
      <c r="P39" s="2"/>
      <c r="Q39" s="2"/>
      <c r="R39" s="2"/>
      <c r="S39" s="2"/>
      <c r="T39" s="2"/>
      <c r="U39" s="2"/>
      <c r="V39" s="2"/>
    </row>
    <row r="40" spans="1:22" ht="18">
      <c r="A40" s="9"/>
      <c r="B40" s="97" t="s">
        <v>89</v>
      </c>
      <c r="C40" s="82">
        <f aca="true" t="shared" si="6" ref="C40:J40">SUM(C37-C9)</f>
        <v>-92.212979822678</v>
      </c>
      <c r="D40" s="82">
        <f t="shared" si="6"/>
        <v>-57.03441284579904</v>
      </c>
      <c r="E40" s="82">
        <f t="shared" si="6"/>
        <v>-131.54465931964373</v>
      </c>
      <c r="F40" s="82">
        <f t="shared" si="6"/>
        <v>-159.8408047797629</v>
      </c>
      <c r="G40" s="82">
        <f t="shared" si="6"/>
        <v>-69.70873044258934</v>
      </c>
      <c r="H40" s="82">
        <f t="shared" si="6"/>
        <v>19.84517125552742</v>
      </c>
      <c r="I40" s="82">
        <f t="shared" si="6"/>
        <v>3.487100369017014</v>
      </c>
      <c r="J40" s="82">
        <f t="shared" si="6"/>
        <v>-63.129999999999995</v>
      </c>
      <c r="K40" s="82"/>
      <c r="M40" s="2"/>
      <c r="N40" s="2"/>
      <c r="O40" s="2"/>
      <c r="P40" s="2"/>
      <c r="Q40" s="2"/>
      <c r="R40" s="2"/>
      <c r="S40" s="2"/>
      <c r="T40" s="2"/>
      <c r="U40" s="2"/>
      <c r="V40" s="2"/>
    </row>
    <row r="41" spans="1:12" s="33" customFormat="1" ht="18">
      <c r="A41" s="10"/>
      <c r="B41" s="74" t="s">
        <v>83</v>
      </c>
      <c r="C41" s="88">
        <f>RANK(C40,C40:K40)</f>
        <v>6</v>
      </c>
      <c r="D41" s="88">
        <f>RANK(D40,C40:K40)</f>
        <v>3</v>
      </c>
      <c r="E41" s="88">
        <f>RANK(E40,C40:K40)</f>
        <v>7</v>
      </c>
      <c r="F41" s="88">
        <f>RANK(F40,C40:K40)</f>
        <v>8</v>
      </c>
      <c r="G41" s="88">
        <f>RANK(G40,C40:K40)</f>
        <v>5</v>
      </c>
      <c r="H41" s="88">
        <f>RANK(H40,C40:K40)</f>
        <v>1</v>
      </c>
      <c r="I41" s="88">
        <f>RANK(I40,C40:K40)</f>
        <v>2</v>
      </c>
      <c r="J41" s="88">
        <f>RANK(J40,C40:K40)</f>
        <v>4</v>
      </c>
      <c r="K41" s="88"/>
      <c r="L41" s="73"/>
    </row>
    <row r="42" spans="1:22" ht="18">
      <c r="A42" s="9"/>
      <c r="B42" s="74" t="s">
        <v>77</v>
      </c>
      <c r="C42" s="94">
        <f aca="true" t="shared" si="7" ref="C42:J42">SUM(C7/C37)</f>
        <v>0.9003889319653222</v>
      </c>
      <c r="D42" s="94">
        <f t="shared" si="7"/>
        <v>0.6736258205901502</v>
      </c>
      <c r="E42" s="94">
        <f t="shared" si="7"/>
        <v>0.9371316097657307</v>
      </c>
      <c r="F42" s="94">
        <f t="shared" si="7"/>
        <v>1.1098489516950867</v>
      </c>
      <c r="G42" s="94">
        <f t="shared" si="7"/>
        <v>0.7922187185070783</v>
      </c>
      <c r="H42" s="94">
        <f t="shared" si="7"/>
        <v>0.501358635995847</v>
      </c>
      <c r="I42" s="94">
        <f t="shared" si="7"/>
        <v>0.5222044393203747</v>
      </c>
      <c r="J42" s="94">
        <f t="shared" si="7"/>
        <v>0.7360141227890875</v>
      </c>
      <c r="K42" s="94"/>
      <c r="M42" s="2"/>
      <c r="N42" s="2"/>
      <c r="O42" s="2"/>
      <c r="P42" s="2"/>
      <c r="Q42" s="2"/>
      <c r="R42" s="2"/>
      <c r="S42" s="2"/>
      <c r="T42" s="2"/>
      <c r="U42" s="2"/>
      <c r="V42" s="2"/>
    </row>
    <row r="43" ht="18">
      <c r="A43" s="9"/>
    </row>
    <row r="44" ht="18">
      <c r="A44" s="9"/>
    </row>
    <row r="45" ht="7.5" customHeight="1">
      <c r="A45" s="9"/>
    </row>
    <row r="46" spans="1:22" s="33" customFormat="1" ht="18" customHeight="1">
      <c r="A46" s="10"/>
      <c r="B46" s="494" t="s">
        <v>215</v>
      </c>
      <c r="C46" s="494"/>
      <c r="D46" s="494"/>
      <c r="E46" s="494"/>
      <c r="F46" s="494"/>
      <c r="G46" s="494"/>
      <c r="H46" s="494"/>
      <c r="I46" s="494"/>
      <c r="J46" s="494"/>
      <c r="K46" s="494"/>
      <c r="L46" s="28"/>
      <c r="M46" s="28"/>
      <c r="N46" s="28"/>
      <c r="O46" s="28"/>
      <c r="P46" s="28"/>
      <c r="Q46" s="28"/>
      <c r="R46" s="28"/>
      <c r="S46" s="28"/>
      <c r="T46" s="28"/>
      <c r="U46" s="28"/>
      <c r="V46" s="73"/>
    </row>
    <row r="47" spans="1:22" s="33" customFormat="1" ht="18">
      <c r="A47" s="10"/>
      <c r="B47" s="494"/>
      <c r="C47" s="494"/>
      <c r="D47" s="494"/>
      <c r="E47" s="494"/>
      <c r="F47" s="494"/>
      <c r="G47" s="494"/>
      <c r="H47" s="494"/>
      <c r="I47" s="494"/>
      <c r="J47" s="494"/>
      <c r="K47" s="494"/>
      <c r="L47" s="28"/>
      <c r="M47" s="28"/>
      <c r="N47" s="28"/>
      <c r="O47" s="28"/>
      <c r="P47" s="28"/>
      <c r="Q47" s="28"/>
      <c r="R47" s="28"/>
      <c r="S47" s="28"/>
      <c r="T47" s="28"/>
      <c r="U47" s="28"/>
      <c r="V47" s="73"/>
    </row>
    <row r="48" spans="1:22" s="33" customFormat="1" ht="18">
      <c r="A48" s="10"/>
      <c r="B48" s="73"/>
      <c r="C48" s="73"/>
      <c r="D48" s="73"/>
      <c r="E48" s="73"/>
      <c r="F48" s="73"/>
      <c r="G48" s="73"/>
      <c r="H48" s="73"/>
      <c r="I48" s="73"/>
      <c r="J48" s="73"/>
      <c r="K48" s="73"/>
      <c r="L48" s="73"/>
      <c r="M48" s="73"/>
      <c r="N48" s="73"/>
      <c r="O48" s="73"/>
      <c r="P48" s="73"/>
      <c r="Q48" s="73"/>
      <c r="R48" s="73"/>
      <c r="S48" s="73"/>
      <c r="T48" s="73"/>
      <c r="U48" s="73"/>
      <c r="V48" s="73"/>
    </row>
    <row r="49" ht="7.5" customHeight="1">
      <c r="A49" s="9"/>
    </row>
    <row r="50" ht="18">
      <c r="A50" s="9"/>
    </row>
    <row r="51" ht="18">
      <c r="A51" s="9"/>
    </row>
    <row r="52" ht="18">
      <c r="A52" s="9"/>
    </row>
    <row r="53" ht="18">
      <c r="A53" s="9"/>
    </row>
    <row r="54" ht="7.5" customHeight="1">
      <c r="A54" s="9"/>
    </row>
    <row r="55" ht="18">
      <c r="A55" s="9"/>
    </row>
    <row r="56" ht="18">
      <c r="A56" s="9"/>
    </row>
    <row r="57" ht="18">
      <c r="A57" s="9"/>
    </row>
    <row r="58" ht="18">
      <c r="A58" s="9"/>
    </row>
    <row r="59" ht="7.5" customHeight="1">
      <c r="A59" s="9"/>
    </row>
    <row r="60" ht="18">
      <c r="A60" s="9"/>
    </row>
    <row r="61" spans="23:36" s="1" customFormat="1" ht="18" customHeight="1">
      <c r="W61" s="2"/>
      <c r="X61" s="2"/>
      <c r="Y61" s="2"/>
      <c r="Z61" s="2"/>
      <c r="AA61" s="2"/>
      <c r="AB61" s="2"/>
      <c r="AC61" s="2"/>
      <c r="AD61" s="2"/>
      <c r="AE61" s="2"/>
      <c r="AF61" s="2"/>
      <c r="AG61" s="2"/>
      <c r="AH61" s="2"/>
      <c r="AI61" s="2"/>
      <c r="AJ61" s="2"/>
    </row>
  </sheetData>
  <sheetProtection password="C6A6" sheet="1" objects="1" scenarios="1"/>
  <mergeCells count="2">
    <mergeCell ref="B1:K1"/>
    <mergeCell ref="B46:K47"/>
  </mergeCells>
  <printOptions horizontalCentered="1"/>
  <pageMargins left="0.5511811023622047" right="0.5511811023622047" top="0.984251968503937" bottom="0.984251968503937" header="0.5118110236220472" footer="0.5118110236220472"/>
  <pageSetup firstPageNumber="4" useFirstPageNumber="1" fitToHeight="1" fitToWidth="1" horizontalDpi="600" verticalDpi="600" orientation="portrait" pageOrder="overThenDown" scale="70" r:id="rId1"/>
  <headerFooter scaleWithDoc="0" alignWithMargins="0">
    <oddHeader>&amp;L&amp;8Guidelines: Forage Seed Production Costs&amp;R&amp;8&amp;P</oddHeader>
    <oddFooter>&amp;R&amp;9Manitoba Agriculture, Food and Rural Development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3:AE38"/>
  <sheetViews>
    <sheetView zoomScale="90" zoomScaleNormal="90" workbookViewId="0" topLeftCell="A1">
      <selection activeCell="B3" sqref="B3:K3"/>
    </sheetView>
  </sheetViews>
  <sheetFormatPr defaultColWidth="9.140625" defaultRowHeight="12.75"/>
  <cols>
    <col min="1" max="1" width="2.7109375" style="118" customWidth="1"/>
    <col min="2" max="2" width="13.57421875" style="118" customWidth="1"/>
    <col min="3" max="3" width="6.8515625" style="118" customWidth="1"/>
    <col min="4" max="4" width="12.7109375" style="118" bestFit="1" customWidth="1"/>
    <col min="5" max="11" width="10.7109375" style="118" customWidth="1"/>
    <col min="12" max="16384" width="9.140625" style="118" customWidth="1"/>
  </cols>
  <sheetData>
    <row r="1" ht="15"/>
    <row r="2" ht="15.75" thickBot="1"/>
    <row r="3" spans="2:11" ht="18" customHeight="1" thickBot="1">
      <c r="B3" s="512" t="s">
        <v>105</v>
      </c>
      <c r="C3" s="513"/>
      <c r="D3" s="513"/>
      <c r="E3" s="513"/>
      <c r="F3" s="513"/>
      <c r="G3" s="513"/>
      <c r="H3" s="513"/>
      <c r="I3" s="513"/>
      <c r="J3" s="513"/>
      <c r="K3" s="514"/>
    </row>
    <row r="4" ht="15"/>
    <row r="5" spans="4:11" ht="15.75">
      <c r="D5" s="119" t="s">
        <v>106</v>
      </c>
      <c r="E5" s="119" t="s">
        <v>107</v>
      </c>
      <c r="F5" s="119" t="s">
        <v>108</v>
      </c>
      <c r="G5" s="119" t="s">
        <v>109</v>
      </c>
      <c r="H5" s="119" t="s">
        <v>102</v>
      </c>
      <c r="I5" s="119" t="s">
        <v>110</v>
      </c>
      <c r="J5" s="119" t="s">
        <v>111</v>
      </c>
      <c r="K5" s="119" t="s">
        <v>112</v>
      </c>
    </row>
    <row r="6" spans="3:11" ht="15.75">
      <c r="C6" s="120" t="s">
        <v>113</v>
      </c>
      <c r="D6" s="121" t="s">
        <v>67</v>
      </c>
      <c r="E6" s="121" t="s">
        <v>67</v>
      </c>
      <c r="F6" s="121" t="s">
        <v>114</v>
      </c>
      <c r="G6" s="121" t="s">
        <v>115</v>
      </c>
      <c r="H6" s="121" t="s">
        <v>114</v>
      </c>
      <c r="I6" s="121" t="s">
        <v>116</v>
      </c>
      <c r="J6" s="121" t="s">
        <v>117</v>
      </c>
      <c r="K6" s="122" t="s">
        <v>115</v>
      </c>
    </row>
    <row r="7" spans="3:11" ht="15.75">
      <c r="C7" s="123">
        <v>1</v>
      </c>
      <c r="D7" s="251">
        <v>0</v>
      </c>
      <c r="E7" s="251">
        <v>0</v>
      </c>
      <c r="F7" s="251">
        <v>0</v>
      </c>
      <c r="G7" s="251">
        <v>0</v>
      </c>
      <c r="H7" s="251">
        <v>950</v>
      </c>
      <c r="I7" s="251">
        <v>0</v>
      </c>
      <c r="J7" s="251">
        <v>0</v>
      </c>
      <c r="K7" s="251">
        <v>0</v>
      </c>
    </row>
    <row r="8" spans="3:11" ht="15.75">
      <c r="C8" s="123">
        <v>2</v>
      </c>
      <c r="D8" s="251">
        <v>375</v>
      </c>
      <c r="E8" s="251">
        <v>350</v>
      </c>
      <c r="F8" s="251">
        <v>800</v>
      </c>
      <c r="G8" s="326">
        <v>600</v>
      </c>
      <c r="H8" s="294"/>
      <c r="I8" s="326">
        <v>200</v>
      </c>
      <c r="J8" s="326">
        <v>250</v>
      </c>
      <c r="K8" s="251">
        <v>750</v>
      </c>
    </row>
    <row r="9" spans="3:11" ht="15.75">
      <c r="C9" s="123">
        <v>3</v>
      </c>
      <c r="D9" s="251">
        <v>375</v>
      </c>
      <c r="E9" s="251">
        <v>350</v>
      </c>
      <c r="F9" s="294"/>
      <c r="G9" s="326">
        <v>350</v>
      </c>
      <c r="H9" s="294"/>
      <c r="I9" s="326">
        <v>200</v>
      </c>
      <c r="J9" s="294"/>
      <c r="K9" s="251">
        <v>750</v>
      </c>
    </row>
    <row r="10" spans="3:11" ht="15.75">
      <c r="C10" s="123">
        <v>4</v>
      </c>
      <c r="D10" s="251">
        <v>280</v>
      </c>
      <c r="E10" s="251">
        <v>350</v>
      </c>
      <c r="F10" s="294"/>
      <c r="G10" s="326">
        <v>250</v>
      </c>
      <c r="H10" s="294"/>
      <c r="I10" s="326">
        <v>200</v>
      </c>
      <c r="J10" s="294"/>
      <c r="K10" s="251">
        <v>750</v>
      </c>
    </row>
    <row r="11" spans="3:11" ht="15.75">
      <c r="C11" s="123">
        <v>5</v>
      </c>
      <c r="D11" s="251">
        <v>250</v>
      </c>
      <c r="E11" s="251">
        <v>350</v>
      </c>
      <c r="F11" s="294"/>
      <c r="G11" s="294"/>
      <c r="H11" s="294"/>
      <c r="I11" s="326">
        <v>200</v>
      </c>
      <c r="J11" s="294"/>
      <c r="K11" s="295"/>
    </row>
    <row r="12" spans="3:10" ht="15.75">
      <c r="C12" s="123"/>
      <c r="D12" s="124"/>
      <c r="E12" s="124"/>
      <c r="F12" s="124"/>
      <c r="G12" s="124"/>
      <c r="H12" s="124"/>
      <c r="I12" s="124"/>
      <c r="J12" s="124"/>
    </row>
    <row r="14" spans="2:11" ht="15.75">
      <c r="B14" s="125" t="s">
        <v>118</v>
      </c>
      <c r="D14" s="126">
        <f>SUM(D7:D11)</f>
        <v>1280</v>
      </c>
      <c r="E14" s="126">
        <f aca="true" t="shared" si="0" ref="E14:K14">SUM(E7:E11)</f>
        <v>1400</v>
      </c>
      <c r="F14" s="126">
        <f t="shared" si="0"/>
        <v>800</v>
      </c>
      <c r="G14" s="126">
        <f t="shared" si="0"/>
        <v>1200</v>
      </c>
      <c r="H14" s="126">
        <f t="shared" si="0"/>
        <v>950</v>
      </c>
      <c r="I14" s="126">
        <f t="shared" si="0"/>
        <v>800</v>
      </c>
      <c r="J14" s="126">
        <f t="shared" si="0"/>
        <v>250</v>
      </c>
      <c r="K14" s="126">
        <f t="shared" si="0"/>
        <v>2250</v>
      </c>
    </row>
    <row r="15" spans="2:12" ht="15.75">
      <c r="B15" s="125" t="s">
        <v>119</v>
      </c>
      <c r="D15" s="145">
        <f>D14/COUNT(D8:D11)</f>
        <v>320</v>
      </c>
      <c r="E15" s="145">
        <f aca="true" t="shared" si="1" ref="E15:K15">E14/COUNT(E8:E11)</f>
        <v>350</v>
      </c>
      <c r="F15" s="145">
        <f t="shared" si="1"/>
        <v>800</v>
      </c>
      <c r="G15" s="145">
        <f t="shared" si="1"/>
        <v>400</v>
      </c>
      <c r="H15" s="145">
        <f>H14</f>
        <v>950</v>
      </c>
      <c r="I15" s="145">
        <f t="shared" si="1"/>
        <v>200</v>
      </c>
      <c r="J15" s="145">
        <f t="shared" si="1"/>
        <v>250</v>
      </c>
      <c r="K15" s="145">
        <f t="shared" si="1"/>
        <v>750</v>
      </c>
      <c r="L15" s="146"/>
    </row>
    <row r="16" spans="2:12" ht="15.75">
      <c r="B16" s="125" t="s">
        <v>204</v>
      </c>
      <c r="D16" s="126">
        <f>COUNT(D8:D11)</f>
        <v>4</v>
      </c>
      <c r="E16" s="126">
        <f aca="true" t="shared" si="2" ref="E16:K16">COUNT(E8:E11)</f>
        <v>4</v>
      </c>
      <c r="F16" s="126">
        <f t="shared" si="2"/>
        <v>1</v>
      </c>
      <c r="G16" s="126">
        <f t="shared" si="2"/>
        <v>3</v>
      </c>
      <c r="H16" s="126">
        <f>COUNT(H7:H7)</f>
        <v>1</v>
      </c>
      <c r="I16" s="126">
        <f t="shared" si="2"/>
        <v>4</v>
      </c>
      <c r="J16" s="126">
        <f t="shared" si="2"/>
        <v>1</v>
      </c>
      <c r="K16" s="126">
        <f t="shared" si="2"/>
        <v>3</v>
      </c>
      <c r="L16" s="146"/>
    </row>
    <row r="17" spans="2:11" ht="15.75">
      <c r="B17" s="125" t="s">
        <v>120</v>
      </c>
      <c r="D17" s="126">
        <f aca="true" t="shared" si="3" ref="D17:K17">COUNT(D7:D11)</f>
        <v>5</v>
      </c>
      <c r="E17" s="126">
        <f t="shared" si="3"/>
        <v>5</v>
      </c>
      <c r="F17" s="126">
        <f t="shared" si="3"/>
        <v>2</v>
      </c>
      <c r="G17" s="126">
        <f t="shared" si="3"/>
        <v>4</v>
      </c>
      <c r="H17" s="126">
        <f>COUNT(H7:H7)</f>
        <v>1</v>
      </c>
      <c r="I17" s="126">
        <f t="shared" si="3"/>
        <v>5</v>
      </c>
      <c r="J17" s="126">
        <f t="shared" si="3"/>
        <v>2</v>
      </c>
      <c r="K17" s="126">
        <f t="shared" si="3"/>
        <v>4</v>
      </c>
    </row>
    <row r="18" spans="2:11" ht="15.75">
      <c r="B18" s="125"/>
      <c r="D18" s="126"/>
      <c r="E18" s="126"/>
      <c r="F18" s="126"/>
      <c r="G18" s="126"/>
      <c r="H18" s="126"/>
      <c r="I18" s="126"/>
      <c r="J18" s="126"/>
      <c r="K18" s="126"/>
    </row>
    <row r="19" spans="2:11" ht="15.75">
      <c r="B19" s="125" t="s">
        <v>225</v>
      </c>
      <c r="D19" s="303">
        <f>Summary!E46</f>
        <v>1.85</v>
      </c>
      <c r="E19" s="303">
        <f>Summary!H46</f>
        <v>0.9</v>
      </c>
      <c r="F19" s="303">
        <f>Summary!M46</f>
        <v>0.55</v>
      </c>
      <c r="G19" s="303">
        <f>Summary!O46</f>
        <v>1</v>
      </c>
      <c r="H19" s="303">
        <f>Summary!I46</f>
        <v>0.27</v>
      </c>
      <c r="I19" s="303">
        <f>Summary!Q46</f>
        <v>1.85</v>
      </c>
      <c r="J19" s="303">
        <f>Summary!K46</f>
        <v>0.9</v>
      </c>
      <c r="K19" s="303">
        <f>Summary!T46</f>
        <v>0.5</v>
      </c>
    </row>
    <row r="20" spans="2:11" ht="15.75">
      <c r="B20" s="125"/>
      <c r="D20" s="126"/>
      <c r="E20" s="126"/>
      <c r="F20" s="126"/>
      <c r="G20" s="126"/>
      <c r="H20" s="126"/>
      <c r="I20" s="126"/>
      <c r="J20" s="126"/>
      <c r="K20" s="126"/>
    </row>
    <row r="21" spans="2:11" ht="15.75">
      <c r="B21" s="126" t="s">
        <v>198</v>
      </c>
      <c r="C21" s="126"/>
      <c r="D21" s="118">
        <v>60</v>
      </c>
      <c r="E21" s="118">
        <v>45</v>
      </c>
      <c r="F21" s="118">
        <v>24</v>
      </c>
      <c r="G21" s="118">
        <v>22</v>
      </c>
      <c r="H21" s="118">
        <v>24</v>
      </c>
      <c r="I21" s="118">
        <v>60</v>
      </c>
      <c r="J21" s="118">
        <v>60</v>
      </c>
      <c r="K21" s="118">
        <v>25</v>
      </c>
    </row>
    <row r="22" spans="2:12" ht="15.75">
      <c r="B22" s="126" t="s">
        <v>199</v>
      </c>
      <c r="C22" s="126"/>
      <c r="D22" s="149">
        <f>SUM(D15/D21)</f>
        <v>5.333333333333333</v>
      </c>
      <c r="E22" s="149">
        <f aca="true" t="shared" si="4" ref="E22:K22">SUM(E15/E21)</f>
        <v>7.777777777777778</v>
      </c>
      <c r="F22" s="149">
        <f t="shared" si="4"/>
        <v>33.333333333333336</v>
      </c>
      <c r="G22" s="149">
        <f t="shared" si="4"/>
        <v>18.181818181818183</v>
      </c>
      <c r="H22" s="149">
        <f t="shared" si="4"/>
        <v>39.583333333333336</v>
      </c>
      <c r="I22" s="149">
        <f t="shared" si="4"/>
        <v>3.3333333333333335</v>
      </c>
      <c r="J22" s="149">
        <f t="shared" si="4"/>
        <v>4.166666666666667</v>
      </c>
      <c r="K22" s="149">
        <f t="shared" si="4"/>
        <v>30</v>
      </c>
      <c r="L22" s="149"/>
    </row>
    <row r="26" spans="1:31" s="1" customFormat="1" ht="15.75">
      <c r="A26" s="74" t="s">
        <v>188</v>
      </c>
      <c r="B26" s="97"/>
      <c r="D26" s="5">
        <v>160</v>
      </c>
      <c r="E26" s="72" t="s">
        <v>189</v>
      </c>
      <c r="F26" s="72"/>
      <c r="G26" s="72"/>
      <c r="H26" s="9"/>
      <c r="I26" s="9"/>
      <c r="J26" s="18"/>
      <c r="K26" s="18"/>
      <c r="L26" s="253"/>
      <c r="M26" s="9"/>
      <c r="N26" s="9"/>
      <c r="O26" s="9"/>
      <c r="P26" s="9"/>
      <c r="Q26" s="9"/>
      <c r="R26" s="9"/>
      <c r="S26" s="9"/>
      <c r="T26" s="9"/>
      <c r="U26" s="9"/>
      <c r="V26" s="9"/>
      <c r="W26" s="9"/>
      <c r="X26" s="9"/>
      <c r="Y26" s="9"/>
      <c r="Z26" s="9"/>
      <c r="AA26" s="9"/>
      <c r="AB26" s="9"/>
      <c r="AC26" s="9"/>
      <c r="AD26" s="9"/>
      <c r="AE26" s="9"/>
    </row>
    <row r="27" spans="1:31" s="1" customFormat="1" ht="15.75">
      <c r="A27" s="72"/>
      <c r="B27" s="72" t="s">
        <v>190</v>
      </c>
      <c r="D27" s="72"/>
      <c r="E27" s="258">
        <v>100</v>
      </c>
      <c r="F27" s="256"/>
      <c r="G27" s="256"/>
      <c r="H27" s="9"/>
      <c r="I27" s="18"/>
      <c r="J27" s="18"/>
      <c r="K27" s="18"/>
      <c r="L27" s="253"/>
      <c r="M27" s="9"/>
      <c r="N27" s="9"/>
      <c r="O27" s="9"/>
      <c r="P27" s="9"/>
      <c r="Q27" s="9"/>
      <c r="R27" s="9"/>
      <c r="S27" s="9"/>
      <c r="T27" s="9"/>
      <c r="U27" s="9"/>
      <c r="V27" s="9"/>
      <c r="W27" s="9"/>
      <c r="X27" s="9"/>
      <c r="Y27" s="9"/>
      <c r="Z27" s="9"/>
      <c r="AA27" s="9"/>
      <c r="AB27" s="9"/>
      <c r="AC27" s="9"/>
      <c r="AD27" s="9"/>
      <c r="AE27" s="9"/>
    </row>
    <row r="28" spans="1:31" s="1" customFormat="1" ht="15.75">
      <c r="A28" s="72"/>
      <c r="B28" s="72" t="s">
        <v>191</v>
      </c>
      <c r="D28" s="72"/>
      <c r="E28" s="176">
        <f>$D$26*F28</f>
        <v>132.79999999999998</v>
      </c>
      <c r="F28" s="258">
        <v>0.83</v>
      </c>
      <c r="G28" s="257" t="s">
        <v>192</v>
      </c>
      <c r="H28" s="9"/>
      <c r="I28" s="18"/>
      <c r="J28" s="18"/>
      <c r="K28" s="18"/>
      <c r="L28" s="253"/>
      <c r="M28" s="9"/>
      <c r="N28" s="9"/>
      <c r="O28" s="9"/>
      <c r="P28" s="9"/>
      <c r="Q28" s="9"/>
      <c r="R28" s="9"/>
      <c r="S28" s="9"/>
      <c r="T28" s="9"/>
      <c r="U28" s="9"/>
      <c r="V28" s="9"/>
      <c r="W28" s="9"/>
      <c r="X28" s="9"/>
      <c r="Y28" s="9"/>
      <c r="Z28" s="9"/>
      <c r="AA28" s="9"/>
      <c r="AB28" s="9"/>
      <c r="AC28" s="9"/>
      <c r="AD28" s="9"/>
      <c r="AE28" s="9"/>
    </row>
    <row r="29" spans="1:31" s="1" customFormat="1" ht="15.75">
      <c r="A29" s="72"/>
      <c r="B29" s="72" t="s">
        <v>193</v>
      </c>
      <c r="D29" s="72"/>
      <c r="E29" s="258">
        <v>100</v>
      </c>
      <c r="F29" s="256"/>
      <c r="G29" s="256"/>
      <c r="H29" s="9"/>
      <c r="I29" s="18"/>
      <c r="J29" s="18"/>
      <c r="K29" s="18"/>
      <c r="L29" s="253"/>
      <c r="M29" s="9"/>
      <c r="N29" s="9"/>
      <c r="O29" s="9"/>
      <c r="P29" s="9"/>
      <c r="Q29" s="9"/>
      <c r="R29" s="9"/>
      <c r="S29" s="9"/>
      <c r="T29" s="9"/>
      <c r="U29" s="9"/>
      <c r="V29" s="9"/>
      <c r="W29" s="9"/>
      <c r="X29" s="9"/>
      <c r="Y29" s="9"/>
      <c r="Z29" s="9"/>
      <c r="AA29" s="9"/>
      <c r="AB29" s="9"/>
      <c r="AC29" s="9"/>
      <c r="AD29" s="9"/>
      <c r="AE29" s="9"/>
    </row>
    <row r="30" spans="1:31" s="1" customFormat="1" ht="15.75">
      <c r="A30" s="72"/>
      <c r="B30" s="72" t="s">
        <v>191</v>
      </c>
      <c r="D30" s="72"/>
      <c r="E30" s="176">
        <f>$D$26*F30</f>
        <v>120</v>
      </c>
      <c r="F30" s="258">
        <v>0.75</v>
      </c>
      <c r="G30" s="257" t="s">
        <v>192</v>
      </c>
      <c r="H30" s="9"/>
      <c r="I30" s="18"/>
      <c r="J30" s="18"/>
      <c r="K30" s="18"/>
      <c r="L30" s="253"/>
      <c r="M30" s="9"/>
      <c r="N30" s="9"/>
      <c r="O30" s="9"/>
      <c r="P30" s="9"/>
      <c r="Q30" s="9"/>
      <c r="R30" s="9"/>
      <c r="S30" s="9"/>
      <c r="T30" s="9"/>
      <c r="U30" s="9"/>
      <c r="V30" s="9"/>
      <c r="W30" s="9"/>
      <c r="X30" s="9"/>
      <c r="Y30" s="9"/>
      <c r="Z30" s="9"/>
      <c r="AA30" s="9"/>
      <c r="AB30" s="9"/>
      <c r="AC30" s="9"/>
      <c r="AD30" s="9"/>
      <c r="AE30" s="9"/>
    </row>
    <row r="31" spans="1:31" s="1" customFormat="1" ht="15.75">
      <c r="A31" s="72"/>
      <c r="B31" s="72" t="s">
        <v>194</v>
      </c>
      <c r="D31" s="72"/>
      <c r="E31" s="258">
        <v>65</v>
      </c>
      <c r="F31" s="256"/>
      <c r="G31" s="257"/>
      <c r="H31" s="9"/>
      <c r="I31" s="18"/>
      <c r="J31" s="18"/>
      <c r="K31" s="18"/>
      <c r="L31" s="253"/>
      <c r="M31" s="9"/>
      <c r="N31" s="9"/>
      <c r="O31" s="9"/>
      <c r="P31" s="9"/>
      <c r="Q31" s="9"/>
      <c r="R31" s="9"/>
      <c r="S31" s="9"/>
      <c r="T31" s="9"/>
      <c r="U31" s="9"/>
      <c r="V31" s="9"/>
      <c r="W31" s="9"/>
      <c r="X31" s="9"/>
      <c r="Y31" s="9"/>
      <c r="Z31" s="9"/>
      <c r="AA31" s="9"/>
      <c r="AB31" s="9"/>
      <c r="AC31" s="9"/>
      <c r="AD31" s="9"/>
      <c r="AE31" s="9"/>
    </row>
    <row r="32" spans="1:31" s="1" customFormat="1" ht="15.75">
      <c r="A32" s="72"/>
      <c r="B32" s="72" t="s">
        <v>191</v>
      </c>
      <c r="D32" s="72"/>
      <c r="E32" s="176">
        <f>$D$26*F32</f>
        <v>52.800000000000004</v>
      </c>
      <c r="F32" s="258">
        <v>0.33</v>
      </c>
      <c r="G32" s="257" t="s">
        <v>192</v>
      </c>
      <c r="H32" s="9"/>
      <c r="I32" s="18"/>
      <c r="J32" s="18"/>
      <c r="K32" s="18"/>
      <c r="L32" s="253"/>
      <c r="M32" s="9"/>
      <c r="N32" s="9"/>
      <c r="O32" s="9"/>
      <c r="P32" s="9"/>
      <c r="Q32" s="9"/>
      <c r="R32" s="9"/>
      <c r="S32" s="9"/>
      <c r="T32" s="9"/>
      <c r="U32" s="9"/>
      <c r="V32" s="9"/>
      <c r="W32" s="9"/>
      <c r="X32" s="9"/>
      <c r="Y32" s="9"/>
      <c r="Z32" s="9"/>
      <c r="AA32" s="9"/>
      <c r="AB32" s="9"/>
      <c r="AC32" s="9"/>
      <c r="AD32" s="9"/>
      <c r="AE32" s="9"/>
    </row>
    <row r="33" spans="1:31" s="1" customFormat="1" ht="15">
      <c r="A33" s="72"/>
      <c r="B33" s="72" t="s">
        <v>15</v>
      </c>
      <c r="D33" s="72"/>
      <c r="E33" s="86">
        <f>SUM(E27:E32)</f>
        <v>570.5999999999999</v>
      </c>
      <c r="F33" s="86"/>
      <c r="G33" s="86"/>
      <c r="H33" s="9"/>
      <c r="I33" s="18"/>
      <c r="J33" s="18"/>
      <c r="K33" s="18"/>
      <c r="L33" s="253"/>
      <c r="M33" s="9"/>
      <c r="N33" s="9"/>
      <c r="O33" s="9"/>
      <c r="P33" s="9"/>
      <c r="Q33" s="9"/>
      <c r="R33" s="9"/>
      <c r="S33" s="9"/>
      <c r="T33" s="9"/>
      <c r="U33" s="9"/>
      <c r="V33" s="9"/>
      <c r="W33" s="9"/>
      <c r="X33" s="9"/>
      <c r="Y33" s="9"/>
      <c r="Z33" s="9"/>
      <c r="AA33" s="9"/>
      <c r="AB33" s="9"/>
      <c r="AC33" s="9"/>
      <c r="AD33" s="9"/>
      <c r="AE33" s="9"/>
    </row>
    <row r="34" spans="1:31" s="1" customFormat="1" ht="15">
      <c r="A34" s="72"/>
      <c r="B34" s="72"/>
      <c r="D34" s="72"/>
      <c r="E34" s="72"/>
      <c r="F34" s="72"/>
      <c r="G34" s="72"/>
      <c r="H34" s="9"/>
      <c r="I34" s="9"/>
      <c r="J34" s="9"/>
      <c r="K34" s="9"/>
      <c r="L34" s="253"/>
      <c r="M34" s="9"/>
      <c r="N34" s="9"/>
      <c r="O34" s="9"/>
      <c r="P34" s="9"/>
      <c r="Q34" s="9"/>
      <c r="R34" s="9"/>
      <c r="S34" s="9"/>
      <c r="T34" s="9"/>
      <c r="U34" s="9"/>
      <c r="V34" s="9"/>
      <c r="W34" s="9"/>
      <c r="X34" s="9"/>
      <c r="Y34" s="9"/>
      <c r="Z34" s="9"/>
      <c r="AA34" s="9"/>
      <c r="AB34" s="9"/>
      <c r="AC34" s="9"/>
      <c r="AD34" s="9"/>
      <c r="AE34" s="9"/>
    </row>
    <row r="35" spans="1:31" s="1" customFormat="1" ht="15.75">
      <c r="A35" s="74" t="s">
        <v>195</v>
      </c>
      <c r="B35" s="72"/>
      <c r="D35" s="72"/>
      <c r="E35" s="86">
        <f>E33/D26</f>
        <v>3.5662499999999993</v>
      </c>
      <c r="F35" s="257" t="s">
        <v>192</v>
      </c>
      <c r="G35" s="86"/>
      <c r="H35" s="9"/>
      <c r="I35" s="9"/>
      <c r="J35" s="9"/>
      <c r="K35" s="9"/>
      <c r="L35" s="253"/>
      <c r="M35" s="9"/>
      <c r="N35" s="9"/>
      <c r="O35" s="9"/>
      <c r="P35" s="9"/>
      <c r="Q35" s="9"/>
      <c r="R35" s="9"/>
      <c r="S35" s="9"/>
      <c r="T35" s="9"/>
      <c r="U35" s="9"/>
      <c r="V35" s="9"/>
      <c r="W35" s="9"/>
      <c r="X35" s="9"/>
      <c r="Y35" s="9"/>
      <c r="Z35" s="9"/>
      <c r="AA35" s="9"/>
      <c r="AB35" s="9"/>
      <c r="AC35" s="9"/>
      <c r="AD35" s="9"/>
      <c r="AE35" s="9"/>
    </row>
    <row r="36" spans="4:12" ht="15">
      <c r="D36" s="146"/>
      <c r="E36" s="146"/>
      <c r="F36" s="146"/>
      <c r="G36" s="146"/>
      <c r="H36" s="146"/>
      <c r="I36" s="146"/>
      <c r="J36" s="146"/>
      <c r="K36" s="146"/>
      <c r="L36" s="146"/>
    </row>
    <row r="38" spans="4:8" ht="15">
      <c r="D38" s="146"/>
      <c r="E38" s="146"/>
      <c r="F38" s="146"/>
      <c r="G38" s="146"/>
      <c r="H38" s="146"/>
    </row>
  </sheetData>
  <sheetProtection password="C6A6" sheet="1"/>
  <mergeCells count="1">
    <mergeCell ref="B3:K3"/>
  </mergeCells>
  <printOptions/>
  <pageMargins left="0.7480314960629921" right="0.7480314960629921" top="0.984251968503937" bottom="0.984251968503937" header="0.5118110236220472" footer="0.5118110236220472"/>
  <pageSetup firstPageNumber="5" useFirstPageNumber="1" fitToHeight="1" fitToWidth="1" horizontalDpi="600" verticalDpi="600" orientation="portrait" scale="82" r:id="rId3"/>
  <headerFooter alignWithMargins="0">
    <oddHeader>&amp;LGuidelines: Forage Seed Production Costs&amp;R&amp;P</oddHeader>
    <oddFooter>&amp;R&amp;12Manitoba Agriculture, Food and Rural Development</oddFooter>
  </headerFooter>
  <ignoredErrors>
    <ignoredError sqref="D15 D16:G17 E15:G15 I16:K17 I15:K15" formulaRange="1"/>
    <ignoredError sqref="H15 H16:H17" formula="1" formulaRange="1"/>
  </ignoredErrors>
  <legacyDrawing r:id="rId2"/>
</worksheet>
</file>

<file path=xl/worksheets/sheet5.xml><?xml version="1.0" encoding="utf-8"?>
<worksheet xmlns="http://schemas.openxmlformats.org/spreadsheetml/2006/main" xmlns:r="http://schemas.openxmlformats.org/officeDocument/2006/relationships">
  <sheetPr codeName="Sheet2"/>
  <dimension ref="A1:R131"/>
  <sheetViews>
    <sheetView zoomScale="90" zoomScaleNormal="90" workbookViewId="0" topLeftCell="A1">
      <selection activeCell="A1" sqref="A1:O1"/>
    </sheetView>
  </sheetViews>
  <sheetFormatPr defaultColWidth="10.28125" defaultRowHeight="12.75"/>
  <cols>
    <col min="1" max="1" width="2.7109375" style="1" customWidth="1"/>
    <col min="2" max="2" width="44.57421875" style="1" customWidth="1"/>
    <col min="3" max="3" width="7.8515625" style="1" customWidth="1"/>
    <col min="4" max="4" width="9.28125" style="1" customWidth="1"/>
    <col min="5" max="5" width="1.421875" style="1" customWidth="1"/>
    <col min="6" max="6" width="8.421875" style="1" customWidth="1"/>
    <col min="7" max="7" width="9.00390625" style="1" customWidth="1"/>
    <col min="8" max="8" width="1.57421875" style="1" customWidth="1"/>
    <col min="9" max="9" width="6.140625" style="1" customWidth="1"/>
    <col min="10" max="10" width="8.8515625" style="1" customWidth="1"/>
    <col min="11" max="11" width="1.57421875" style="1" customWidth="1"/>
    <col min="12" max="12" width="5.140625" style="1" customWidth="1"/>
    <col min="13" max="13" width="8.7109375" style="1" customWidth="1"/>
    <col min="14" max="14" width="1.421875" style="1" customWidth="1"/>
    <col min="15" max="15" width="12.28125" style="1" bestFit="1" customWidth="1"/>
    <col min="16" max="16384" width="10.28125" style="1" customWidth="1"/>
  </cols>
  <sheetData>
    <row r="1" spans="1:18" ht="18">
      <c r="A1" s="511" t="s">
        <v>25</v>
      </c>
      <c r="B1" s="511"/>
      <c r="C1" s="511"/>
      <c r="D1" s="511"/>
      <c r="E1" s="511"/>
      <c r="F1" s="511"/>
      <c r="G1" s="511"/>
      <c r="H1" s="511"/>
      <c r="I1" s="511"/>
      <c r="J1" s="511"/>
      <c r="K1" s="511"/>
      <c r="L1" s="511"/>
      <c r="M1" s="511"/>
      <c r="N1" s="511"/>
      <c r="O1" s="511"/>
      <c r="P1" s="9"/>
      <c r="Q1" s="9"/>
      <c r="R1" s="9"/>
    </row>
    <row r="2" spans="1:18" ht="7.5" customHeight="1">
      <c r="A2" s="9"/>
      <c r="B2" s="34"/>
      <c r="C2" s="34"/>
      <c r="D2" s="34"/>
      <c r="E2" s="34"/>
      <c r="F2" s="34"/>
      <c r="K2" s="9"/>
      <c r="L2" s="9"/>
      <c r="M2" s="9"/>
      <c r="N2" s="9"/>
      <c r="O2" s="9"/>
      <c r="P2" s="9"/>
      <c r="Q2" s="9"/>
      <c r="R2" s="9"/>
    </row>
    <row r="3" spans="1:18" ht="15.75">
      <c r="A3" s="9"/>
      <c r="C3" s="34"/>
      <c r="D3" s="35" t="s">
        <v>0</v>
      </c>
      <c r="E3" s="36"/>
      <c r="G3" s="35" t="s">
        <v>1</v>
      </c>
      <c r="H3" s="36"/>
      <c r="J3" s="35" t="s">
        <v>2</v>
      </c>
      <c r="K3" s="9"/>
      <c r="L3" s="9"/>
      <c r="M3" s="9"/>
      <c r="N3" s="9"/>
      <c r="O3" s="9"/>
      <c r="P3" s="9"/>
      <c r="Q3" s="9"/>
      <c r="R3" s="9"/>
    </row>
    <row r="4" spans="1:18" ht="15.75">
      <c r="A4" s="37" t="s">
        <v>3</v>
      </c>
      <c r="B4" s="9"/>
      <c r="C4" s="9"/>
      <c r="D4" s="38" t="s">
        <v>4</v>
      </c>
      <c r="E4" s="36"/>
      <c r="G4" s="38" t="s">
        <v>5</v>
      </c>
      <c r="H4" s="36"/>
      <c r="J4" s="38" t="s">
        <v>4</v>
      </c>
      <c r="K4" s="9"/>
      <c r="L4" s="9"/>
      <c r="M4" s="9"/>
      <c r="N4" s="9"/>
      <c r="O4" s="9"/>
      <c r="P4" s="9"/>
      <c r="Q4" s="9"/>
      <c r="R4" s="9"/>
    </row>
    <row r="5" spans="1:18" ht="15.75">
      <c r="A5" s="144" t="s">
        <v>164</v>
      </c>
      <c r="B5" s="9"/>
      <c r="C5" s="9"/>
      <c r="D5" s="38"/>
      <c r="E5" s="36"/>
      <c r="G5" s="38"/>
      <c r="H5" s="36"/>
      <c r="J5" s="296"/>
      <c r="K5" s="9"/>
      <c r="L5" s="9"/>
      <c r="M5" s="9"/>
      <c r="N5" s="9"/>
      <c r="O5" s="9"/>
      <c r="P5" s="9"/>
      <c r="Q5" s="9"/>
      <c r="R5" s="9"/>
    </row>
    <row r="6" spans="1:18" ht="15.75">
      <c r="A6" s="9"/>
      <c r="B6" s="34" t="s">
        <v>165</v>
      </c>
      <c r="C6" s="34"/>
      <c r="D6" s="39">
        <v>1.25</v>
      </c>
      <c r="E6" s="34" t="s">
        <v>9</v>
      </c>
      <c r="G6" s="54">
        <v>10.8</v>
      </c>
      <c r="H6" s="34" t="s">
        <v>10</v>
      </c>
      <c r="J6" s="50">
        <f>ROUND(D6*G6,2)</f>
        <v>13.5</v>
      </c>
      <c r="K6" s="9"/>
      <c r="L6" s="9"/>
      <c r="M6" s="9"/>
      <c r="N6" s="9"/>
      <c r="O6" s="9"/>
      <c r="P6" s="9"/>
      <c r="Q6" s="9"/>
      <c r="R6" s="9"/>
    </row>
    <row r="7" spans="1:18" ht="15.75">
      <c r="A7" s="9"/>
      <c r="B7" s="348" t="s">
        <v>233</v>
      </c>
      <c r="C7" s="338" t="s">
        <v>6</v>
      </c>
      <c r="D7" s="44">
        <v>1</v>
      </c>
      <c r="E7" s="34" t="s">
        <v>7</v>
      </c>
      <c r="G7" s="55">
        <v>11</v>
      </c>
      <c r="H7" s="34" t="s">
        <v>8</v>
      </c>
      <c r="J7" s="50">
        <f>ROUND(D7*G7,2)</f>
        <v>11</v>
      </c>
      <c r="K7" s="9"/>
      <c r="L7" s="9"/>
      <c r="M7" s="9"/>
      <c r="N7" s="9"/>
      <c r="O7" s="9"/>
      <c r="P7" s="9"/>
      <c r="Q7" s="9"/>
      <c r="R7" s="9"/>
    </row>
    <row r="8" spans="1:18" ht="15.75">
      <c r="A8" s="10" t="s">
        <v>166</v>
      </c>
      <c r="B8" s="34"/>
      <c r="C8" s="34"/>
      <c r="D8" s="70"/>
      <c r="E8" s="42"/>
      <c r="G8" s="55"/>
      <c r="H8" s="42"/>
      <c r="J8" s="50"/>
      <c r="K8" s="9"/>
      <c r="L8" s="9"/>
      <c r="M8" s="9"/>
      <c r="N8" s="9"/>
      <c r="O8" s="9"/>
      <c r="P8" s="9"/>
      <c r="Q8" s="9"/>
      <c r="R8" s="9"/>
    </row>
    <row r="9" spans="1:18" ht="15.75">
      <c r="A9" s="9"/>
      <c r="B9" s="34" t="s">
        <v>167</v>
      </c>
      <c r="C9" s="34"/>
      <c r="D9" s="39">
        <v>2</v>
      </c>
      <c r="E9" s="34" t="s">
        <v>9</v>
      </c>
      <c r="G9" s="54">
        <v>5</v>
      </c>
      <c r="H9" s="34" t="s">
        <v>10</v>
      </c>
      <c r="J9" s="50">
        <f>ROUND(D9*G9,2)</f>
        <v>10</v>
      </c>
      <c r="K9" s="9"/>
      <c r="L9" s="9"/>
      <c r="M9" s="9"/>
      <c r="N9" s="9"/>
      <c r="O9" s="9"/>
      <c r="P9" s="9"/>
      <c r="Q9" s="9"/>
      <c r="R9" s="9"/>
    </row>
    <row r="10" spans="1:18" ht="15.75">
      <c r="A10" s="9"/>
      <c r="B10" s="348" t="s">
        <v>233</v>
      </c>
      <c r="C10" s="338" t="s">
        <v>6</v>
      </c>
      <c r="D10" s="44">
        <v>1</v>
      </c>
      <c r="E10" s="34" t="s">
        <v>7</v>
      </c>
      <c r="G10" s="55">
        <v>11</v>
      </c>
      <c r="H10" s="34" t="s">
        <v>8</v>
      </c>
      <c r="J10" s="50">
        <f>ROUND(D10*G10,2)</f>
        <v>11</v>
      </c>
      <c r="K10" s="9"/>
      <c r="L10" s="9"/>
      <c r="M10" s="9"/>
      <c r="N10" s="9"/>
      <c r="O10" s="9"/>
      <c r="P10" s="9"/>
      <c r="Q10" s="9"/>
      <c r="R10" s="9"/>
    </row>
    <row r="11" spans="1:18" ht="15.75">
      <c r="A11" s="10" t="s">
        <v>168</v>
      </c>
      <c r="B11" s="34"/>
      <c r="C11" s="34"/>
      <c r="D11" s="44"/>
      <c r="E11" s="34"/>
      <c r="G11" s="40"/>
      <c r="H11" s="34"/>
      <c r="J11" s="50"/>
      <c r="K11" s="9"/>
      <c r="L11" s="9"/>
      <c r="M11" s="9"/>
      <c r="N11" s="9"/>
      <c r="O11" s="9"/>
      <c r="P11" s="9"/>
      <c r="Q11" s="9"/>
      <c r="R11" s="9"/>
    </row>
    <row r="12" spans="1:18" ht="15.75">
      <c r="A12" s="58"/>
      <c r="B12" s="34" t="s">
        <v>170</v>
      </c>
      <c r="C12" s="34"/>
      <c r="D12" s="60">
        <v>16</v>
      </c>
      <c r="E12" s="34" t="s">
        <v>9</v>
      </c>
      <c r="G12" s="55">
        <v>1.4</v>
      </c>
      <c r="H12" s="34" t="s">
        <v>10</v>
      </c>
      <c r="J12" s="50">
        <f>ROUND(D12*G12,2)</f>
        <v>22.4</v>
      </c>
      <c r="K12" s="9"/>
      <c r="L12" s="9"/>
      <c r="M12" s="9"/>
      <c r="N12" s="9"/>
      <c r="O12" s="9"/>
      <c r="P12" s="9"/>
      <c r="Q12" s="9"/>
      <c r="R12" s="9"/>
    </row>
    <row r="13" spans="1:18" ht="15.75">
      <c r="A13" s="10" t="s">
        <v>157</v>
      </c>
      <c r="B13" s="34"/>
      <c r="C13" s="34"/>
      <c r="D13" s="60"/>
      <c r="E13" s="34"/>
      <c r="G13" s="55"/>
      <c r="H13" s="34"/>
      <c r="J13" s="50"/>
      <c r="K13" s="9"/>
      <c r="L13" s="9"/>
      <c r="M13" s="9"/>
      <c r="N13" s="9"/>
      <c r="O13" s="9"/>
      <c r="P13" s="9"/>
      <c r="Q13" s="9"/>
      <c r="R13" s="9"/>
    </row>
    <row r="14" spans="1:18" ht="15.75">
      <c r="A14" s="9"/>
      <c r="B14" s="34" t="s">
        <v>169</v>
      </c>
      <c r="C14" s="34"/>
      <c r="D14" s="44">
        <v>4</v>
      </c>
      <c r="E14" s="34" t="s">
        <v>9</v>
      </c>
      <c r="G14" s="54">
        <v>5</v>
      </c>
      <c r="H14" s="34" t="s">
        <v>10</v>
      </c>
      <c r="J14" s="50">
        <f>ROUND(D14*G14,2)</f>
        <v>20</v>
      </c>
      <c r="K14" s="9"/>
      <c r="L14" s="9"/>
      <c r="M14" s="9"/>
      <c r="N14" s="9"/>
      <c r="O14" s="9"/>
      <c r="P14" s="9"/>
      <c r="Q14" s="9"/>
      <c r="R14" s="9"/>
    </row>
    <row r="15" spans="1:18" ht="15.75">
      <c r="A15" s="9"/>
      <c r="B15" s="348" t="s">
        <v>233</v>
      </c>
      <c r="C15" s="338" t="s">
        <v>6</v>
      </c>
      <c r="D15" s="44">
        <v>1</v>
      </c>
      <c r="E15" s="34" t="s">
        <v>7</v>
      </c>
      <c r="G15" s="55">
        <v>11</v>
      </c>
      <c r="H15" s="34" t="s">
        <v>8</v>
      </c>
      <c r="J15" s="50">
        <f>ROUND(D15*G15,2)</f>
        <v>11</v>
      </c>
      <c r="K15" s="9"/>
      <c r="L15" s="9"/>
      <c r="M15" s="9"/>
      <c r="N15" s="9"/>
      <c r="O15" s="9"/>
      <c r="P15" s="9"/>
      <c r="Q15" s="9"/>
      <c r="R15" s="9"/>
    </row>
    <row r="16" spans="1:18" ht="15.75">
      <c r="A16" s="10" t="s">
        <v>171</v>
      </c>
      <c r="B16" s="34"/>
      <c r="C16" s="34"/>
      <c r="D16" s="44"/>
      <c r="E16" s="34"/>
      <c r="G16" s="40"/>
      <c r="H16" s="34"/>
      <c r="J16" s="50"/>
      <c r="K16" s="9"/>
      <c r="L16" s="9"/>
      <c r="M16" s="9"/>
      <c r="N16" s="9"/>
      <c r="O16" s="9"/>
      <c r="P16" s="9"/>
      <c r="Q16" s="9"/>
      <c r="R16" s="9"/>
    </row>
    <row r="17" spans="1:18" ht="15.75">
      <c r="A17" s="9"/>
      <c r="B17" s="34" t="s">
        <v>172</v>
      </c>
      <c r="C17" s="34"/>
      <c r="D17" s="39">
        <v>6</v>
      </c>
      <c r="E17" s="34" t="s">
        <v>9</v>
      </c>
      <c r="G17" s="54">
        <v>3</v>
      </c>
      <c r="H17" s="34" t="s">
        <v>10</v>
      </c>
      <c r="J17" s="50">
        <f>ROUND(D17*G17,2)</f>
        <v>18</v>
      </c>
      <c r="K17" s="9"/>
      <c r="L17" s="9"/>
      <c r="M17" s="9"/>
      <c r="N17" s="9"/>
      <c r="O17" s="9"/>
      <c r="P17" s="9"/>
      <c r="Q17" s="9"/>
      <c r="R17" s="9"/>
    </row>
    <row r="18" spans="1:18" ht="15.75">
      <c r="A18" s="9"/>
      <c r="B18" s="348" t="s">
        <v>233</v>
      </c>
      <c r="C18" s="338" t="s">
        <v>6</v>
      </c>
      <c r="D18" s="44">
        <v>1.5</v>
      </c>
      <c r="E18" s="34" t="s">
        <v>7</v>
      </c>
      <c r="G18" s="55">
        <v>11</v>
      </c>
      <c r="H18" s="34" t="s">
        <v>8</v>
      </c>
      <c r="J18" s="50">
        <f>ROUND(D18*G18,2)</f>
        <v>16.5</v>
      </c>
      <c r="K18" s="9"/>
      <c r="L18" s="9"/>
      <c r="M18" s="9"/>
      <c r="N18" s="9"/>
      <c r="O18" s="9"/>
      <c r="P18" s="9"/>
      <c r="Q18" s="9"/>
      <c r="R18" s="9"/>
    </row>
    <row r="19" spans="1:18" ht="15.75">
      <c r="A19" s="10" t="s">
        <v>173</v>
      </c>
      <c r="B19" s="34"/>
      <c r="C19" s="34"/>
      <c r="D19" s="44"/>
      <c r="E19" s="34"/>
      <c r="G19" s="40"/>
      <c r="H19" s="34"/>
      <c r="J19" s="50"/>
      <c r="K19" s="9"/>
      <c r="L19" s="9"/>
      <c r="M19" s="9"/>
      <c r="N19" s="9"/>
      <c r="O19" s="9"/>
      <c r="P19" s="9"/>
      <c r="Q19" s="9"/>
      <c r="R19" s="9"/>
    </row>
    <row r="20" spans="1:18" ht="15.75">
      <c r="A20" s="9"/>
      <c r="B20" s="34" t="s">
        <v>174</v>
      </c>
      <c r="C20" s="34"/>
      <c r="D20" s="43">
        <v>4</v>
      </c>
      <c r="E20" s="34" t="s">
        <v>11</v>
      </c>
      <c r="G20" s="54">
        <v>5</v>
      </c>
      <c r="H20" s="34" t="s">
        <v>10</v>
      </c>
      <c r="J20" s="50">
        <f>ROUND(D20*G20,2)</f>
        <v>20</v>
      </c>
      <c r="K20" s="9"/>
      <c r="L20" s="9"/>
      <c r="M20" s="9"/>
      <c r="N20" s="9"/>
      <c r="O20" s="9"/>
      <c r="P20" s="9"/>
      <c r="Q20" s="9"/>
      <c r="R20" s="9"/>
    </row>
    <row r="21" spans="1:18" ht="15.75">
      <c r="A21" s="9"/>
      <c r="B21" s="348" t="s">
        <v>233</v>
      </c>
      <c r="C21" s="338" t="s">
        <v>6</v>
      </c>
      <c r="D21" s="44">
        <v>1</v>
      </c>
      <c r="E21" s="34" t="s">
        <v>7</v>
      </c>
      <c r="G21" s="55">
        <v>11</v>
      </c>
      <c r="H21" s="34" t="s">
        <v>8</v>
      </c>
      <c r="J21" s="50">
        <f>ROUND(D21*G21,2)</f>
        <v>11</v>
      </c>
      <c r="K21" s="9"/>
      <c r="L21" s="9"/>
      <c r="M21" s="9"/>
      <c r="N21" s="9"/>
      <c r="O21" s="9"/>
      <c r="P21" s="9"/>
      <c r="Q21" s="9"/>
      <c r="R21" s="9"/>
    </row>
    <row r="22" spans="1:18" ht="15.75">
      <c r="A22" s="10" t="s">
        <v>175</v>
      </c>
      <c r="B22" s="34"/>
      <c r="C22" s="34"/>
      <c r="D22" s="44"/>
      <c r="E22" s="34"/>
      <c r="G22" s="40"/>
      <c r="H22" s="34"/>
      <c r="J22" s="50"/>
      <c r="K22" s="9"/>
      <c r="L22" s="9"/>
      <c r="M22" s="9"/>
      <c r="N22" s="9"/>
      <c r="O22" s="9"/>
      <c r="P22" s="9"/>
      <c r="Q22" s="9"/>
      <c r="R22" s="9"/>
    </row>
    <row r="23" spans="1:18" ht="15.75">
      <c r="A23" s="9"/>
      <c r="B23" s="34" t="s">
        <v>175</v>
      </c>
      <c r="C23" s="34"/>
      <c r="D23" s="39">
        <v>1.75</v>
      </c>
      <c r="E23" s="34" t="s">
        <v>9</v>
      </c>
      <c r="G23" s="54">
        <v>13</v>
      </c>
      <c r="H23" s="34" t="s">
        <v>10</v>
      </c>
      <c r="J23" s="50">
        <f>ROUND(D23*G23,2)</f>
        <v>22.75</v>
      </c>
      <c r="K23" s="9"/>
      <c r="L23" s="9"/>
      <c r="M23" s="9"/>
      <c r="N23" s="9"/>
      <c r="O23" s="9"/>
      <c r="P23" s="9"/>
      <c r="Q23" s="9"/>
      <c r="R23" s="9"/>
    </row>
    <row r="24" spans="1:18" ht="15.75">
      <c r="A24" s="9"/>
      <c r="B24" s="348" t="s">
        <v>233</v>
      </c>
      <c r="C24" s="338" t="s">
        <v>6</v>
      </c>
      <c r="D24" s="44">
        <v>1</v>
      </c>
      <c r="E24" s="34" t="s">
        <v>7</v>
      </c>
      <c r="G24" s="55">
        <v>11</v>
      </c>
      <c r="H24" s="34" t="s">
        <v>8</v>
      </c>
      <c r="J24" s="50">
        <f>ROUND(D24*G24,2)</f>
        <v>11</v>
      </c>
      <c r="K24" s="9"/>
      <c r="L24" s="9"/>
      <c r="M24" s="9"/>
      <c r="N24" s="9"/>
      <c r="O24" s="9"/>
      <c r="P24" s="9"/>
      <c r="Q24" s="9"/>
      <c r="R24" s="9"/>
    </row>
    <row r="25" spans="1:18" ht="15.75">
      <c r="A25" s="10" t="s">
        <v>132</v>
      </c>
      <c r="B25" s="34"/>
      <c r="C25" s="34"/>
      <c r="D25" s="44"/>
      <c r="E25" s="34"/>
      <c r="G25" s="40"/>
      <c r="H25" s="34"/>
      <c r="J25" s="50"/>
      <c r="K25" s="9"/>
      <c r="L25" s="9"/>
      <c r="M25" s="9"/>
      <c r="N25" s="9"/>
      <c r="O25" s="9"/>
      <c r="P25" s="9"/>
      <c r="Q25" s="9"/>
      <c r="R25" s="9"/>
    </row>
    <row r="26" spans="1:18" ht="15.75">
      <c r="A26" s="9"/>
      <c r="B26" s="34" t="s">
        <v>176</v>
      </c>
      <c r="C26" s="34"/>
      <c r="D26" s="39">
        <v>4</v>
      </c>
      <c r="E26" s="34" t="s">
        <v>9</v>
      </c>
      <c r="G26" s="54">
        <v>4</v>
      </c>
      <c r="H26" s="34" t="s">
        <v>10</v>
      </c>
      <c r="J26" s="50">
        <f>ROUND(D26*G26,2)</f>
        <v>16</v>
      </c>
      <c r="K26" s="9"/>
      <c r="L26" s="9"/>
      <c r="M26" s="9"/>
      <c r="N26" s="9"/>
      <c r="O26" s="9"/>
      <c r="P26" s="9"/>
      <c r="Q26" s="9"/>
      <c r="R26" s="9"/>
    </row>
    <row r="27" spans="1:18" ht="15.75">
      <c r="A27" s="9"/>
      <c r="B27" s="348" t="s">
        <v>233</v>
      </c>
      <c r="C27" s="338" t="s">
        <v>6</v>
      </c>
      <c r="D27" s="44">
        <v>1</v>
      </c>
      <c r="E27" s="34" t="s">
        <v>7</v>
      </c>
      <c r="G27" s="55">
        <v>11</v>
      </c>
      <c r="H27" s="34" t="s">
        <v>8</v>
      </c>
      <c r="J27" s="50">
        <f>ROUND(D27*G27,2)</f>
        <v>11</v>
      </c>
      <c r="K27" s="9"/>
      <c r="L27" s="9"/>
      <c r="M27" s="9"/>
      <c r="N27" s="9"/>
      <c r="O27" s="9"/>
      <c r="P27" s="9"/>
      <c r="Q27" s="9"/>
      <c r="R27" s="9"/>
    </row>
    <row r="28" spans="1:17" ht="15">
      <c r="A28" s="9"/>
      <c r="B28" s="9"/>
      <c r="C28" s="9"/>
      <c r="D28" s="9"/>
      <c r="E28" s="9"/>
      <c r="F28" s="9"/>
      <c r="G28" s="9"/>
      <c r="H28" s="9"/>
      <c r="I28" s="9"/>
      <c r="J28" s="9"/>
      <c r="K28" s="9"/>
      <c r="L28" s="9"/>
      <c r="M28" s="9"/>
      <c r="N28" s="9"/>
      <c r="O28" s="9"/>
      <c r="P28" s="9"/>
      <c r="Q28" s="9"/>
    </row>
    <row r="29" spans="1:17" ht="18">
      <c r="A29" s="511" t="s">
        <v>26</v>
      </c>
      <c r="B29" s="518"/>
      <c r="C29" s="518"/>
      <c r="D29" s="518"/>
      <c r="E29" s="518"/>
      <c r="F29" s="518"/>
      <c r="G29" s="518"/>
      <c r="H29" s="518"/>
      <c r="I29" s="518"/>
      <c r="J29" s="518"/>
      <c r="K29" s="518"/>
      <c r="L29" s="518"/>
      <c r="M29" s="518"/>
      <c r="N29" s="518"/>
      <c r="O29" s="518"/>
      <c r="P29" s="12"/>
      <c r="Q29" s="9"/>
    </row>
    <row r="30" spans="1:17" ht="18">
      <c r="A30" s="152"/>
      <c r="B30" s="30"/>
      <c r="C30" s="30"/>
      <c r="D30" s="30"/>
      <c r="E30" s="30"/>
      <c r="F30" s="30"/>
      <c r="G30" s="30"/>
      <c r="H30" s="30"/>
      <c r="I30" s="30"/>
      <c r="J30" s="30"/>
      <c r="K30" s="30"/>
      <c r="L30" s="30"/>
      <c r="M30" s="30"/>
      <c r="N30" s="30"/>
      <c r="O30" s="30"/>
      <c r="P30" s="12"/>
      <c r="Q30" s="9"/>
    </row>
    <row r="31" spans="4:17" ht="15.75">
      <c r="D31" s="297" t="s">
        <v>216</v>
      </c>
      <c r="G31" s="297" t="s">
        <v>223</v>
      </c>
      <c r="P31" s="29"/>
      <c r="Q31" s="9"/>
    </row>
    <row r="32" spans="1:17" ht="15.75">
      <c r="A32" s="9"/>
      <c r="B32" s="21" t="s">
        <v>217</v>
      </c>
      <c r="C32" s="9"/>
      <c r="D32" s="21" t="s">
        <v>218</v>
      </c>
      <c r="E32" s="9"/>
      <c r="G32" s="17" t="s">
        <v>57</v>
      </c>
      <c r="H32" s="9"/>
      <c r="I32" s="13"/>
      <c r="J32" s="9"/>
      <c r="K32" s="9"/>
      <c r="L32" s="9"/>
      <c r="M32" s="9"/>
      <c r="N32" s="9"/>
      <c r="O32" s="9"/>
      <c r="P32" s="9"/>
      <c r="Q32" s="9"/>
    </row>
    <row r="33" spans="1:17" ht="15.75">
      <c r="A33" s="9"/>
      <c r="B33" s="9" t="s">
        <v>219</v>
      </c>
      <c r="D33" s="298">
        <v>536</v>
      </c>
      <c r="E33" s="9"/>
      <c r="G33" s="299">
        <f>SUM(D33/(2204.5855*0.46))</f>
        <v>0.5285426177865852</v>
      </c>
      <c r="H33" s="9"/>
      <c r="I33" s="9"/>
      <c r="J33" s="51"/>
      <c r="K33" s="9"/>
      <c r="L33" s="9"/>
      <c r="M33" s="9"/>
      <c r="N33" s="9"/>
      <c r="O33" s="9"/>
      <c r="P33" s="9"/>
      <c r="Q33" s="9"/>
    </row>
    <row r="34" spans="1:17" ht="15.75">
      <c r="A34" s="9"/>
      <c r="B34" s="9" t="s">
        <v>220</v>
      </c>
      <c r="D34" s="298">
        <v>779</v>
      </c>
      <c r="E34" s="9"/>
      <c r="G34" s="299">
        <f>SUM((D34-(G33*(0.11*2204.5855)))/(2204.5855*0.52))</f>
        <v>0.5677206117714834</v>
      </c>
      <c r="H34" s="9"/>
      <c r="I34" s="9"/>
      <c r="J34" s="9"/>
      <c r="K34" s="9"/>
      <c r="L34" s="9"/>
      <c r="M34" s="9"/>
      <c r="N34" s="9"/>
      <c r="O34" s="9"/>
      <c r="P34" s="9"/>
      <c r="Q34" s="9"/>
    </row>
    <row r="35" spans="1:17" ht="15.75">
      <c r="A35" s="9"/>
      <c r="B35" s="9" t="s">
        <v>221</v>
      </c>
      <c r="D35" s="298">
        <v>507</v>
      </c>
      <c r="E35" s="9"/>
      <c r="G35" s="299">
        <f>SUM(D35/(2204.5855*0.6))</f>
        <v>0.38329200659262247</v>
      </c>
      <c r="H35" s="9"/>
      <c r="I35" s="9"/>
      <c r="J35" s="9"/>
      <c r="K35" s="9"/>
      <c r="L35" s="9"/>
      <c r="M35" s="9"/>
      <c r="N35" s="9"/>
      <c r="O35" s="9"/>
      <c r="P35" s="9"/>
      <c r="Q35" s="9"/>
    </row>
    <row r="36" spans="1:17" ht="15.75">
      <c r="A36" s="9"/>
      <c r="B36" s="9" t="s">
        <v>222</v>
      </c>
      <c r="D36" s="298">
        <v>449</v>
      </c>
      <c r="E36" s="9"/>
      <c r="G36" s="300">
        <f>SUM((D36-(G33*(0.205*2204.5855)))/(2204.5855*0.24))</f>
        <v>0.3971465285700508</v>
      </c>
      <c r="H36" s="9"/>
      <c r="I36" s="9"/>
      <c r="J36" s="9"/>
      <c r="K36" s="9"/>
      <c r="L36" s="9"/>
      <c r="M36" s="9"/>
      <c r="N36" s="9"/>
      <c r="O36" s="9"/>
      <c r="P36" s="9"/>
      <c r="Q36" s="9"/>
    </row>
    <row r="37" spans="1:17" ht="15.75">
      <c r="A37" s="9"/>
      <c r="B37" s="9"/>
      <c r="D37" s="298"/>
      <c r="E37" s="9"/>
      <c r="F37" s="9"/>
      <c r="G37" s="9"/>
      <c r="H37" s="9"/>
      <c r="I37" s="9"/>
      <c r="J37" s="9"/>
      <c r="K37" s="9"/>
      <c r="L37" s="9"/>
      <c r="M37" s="9"/>
      <c r="N37" s="9"/>
      <c r="O37" s="9"/>
      <c r="P37" s="9"/>
      <c r="Q37" s="9"/>
    </row>
    <row r="38" spans="2:17" ht="15.75">
      <c r="B38" s="30"/>
      <c r="C38" s="517" t="s">
        <v>49</v>
      </c>
      <c r="D38" s="517"/>
      <c r="E38" s="517"/>
      <c r="F38" s="517"/>
      <c r="G38" s="517"/>
      <c r="H38" s="517"/>
      <c r="I38" s="517"/>
      <c r="J38" s="517"/>
      <c r="K38" s="517"/>
      <c r="L38" s="517"/>
      <c r="M38" s="517"/>
      <c r="N38"/>
      <c r="O38"/>
      <c r="P38" s="9"/>
      <c r="Q38" s="9"/>
    </row>
    <row r="39" spans="1:17" ht="15.75">
      <c r="A39" s="10" t="s">
        <v>3</v>
      </c>
      <c r="C39" s="515" t="s">
        <v>46</v>
      </c>
      <c r="D39" s="515"/>
      <c r="E39" s="9"/>
      <c r="F39" s="515" t="s">
        <v>66</v>
      </c>
      <c r="G39" s="515"/>
      <c r="H39" s="9"/>
      <c r="I39" s="515" t="s">
        <v>47</v>
      </c>
      <c r="J39" s="515"/>
      <c r="K39" s="9"/>
      <c r="L39" s="515" t="s">
        <v>48</v>
      </c>
      <c r="M39" s="515"/>
      <c r="N39" s="9"/>
      <c r="O39" s="14" t="s">
        <v>15</v>
      </c>
      <c r="P39" s="9"/>
      <c r="Q39" s="9"/>
    </row>
    <row r="40" spans="1:17" ht="15.75">
      <c r="A40" s="9"/>
      <c r="B40" s="9"/>
      <c r="C40" s="17" t="s">
        <v>11</v>
      </c>
      <c r="D40" s="17" t="s">
        <v>12</v>
      </c>
      <c r="E40" s="17"/>
      <c r="F40" s="17" t="s">
        <v>11</v>
      </c>
      <c r="G40" s="17" t="s">
        <v>12</v>
      </c>
      <c r="H40" s="17"/>
      <c r="I40" s="17" t="s">
        <v>11</v>
      </c>
      <c r="J40" s="17" t="s">
        <v>12</v>
      </c>
      <c r="K40" s="17"/>
      <c r="L40" s="17" t="s">
        <v>11</v>
      </c>
      <c r="M40" s="17" t="s">
        <v>12</v>
      </c>
      <c r="N40" s="16"/>
      <c r="O40" s="17" t="s">
        <v>12</v>
      </c>
      <c r="P40" s="9"/>
      <c r="Q40" s="9"/>
    </row>
    <row r="41" spans="1:17" ht="15.75">
      <c r="A41" s="10" t="s">
        <v>164</v>
      </c>
      <c r="B41" s="9"/>
      <c r="C41" s="15"/>
      <c r="D41" s="15"/>
      <c r="E41" s="15"/>
      <c r="F41" s="15"/>
      <c r="G41" s="15"/>
      <c r="H41" s="15"/>
      <c r="I41" s="15"/>
      <c r="J41" s="15"/>
      <c r="K41" s="15"/>
      <c r="L41" s="15"/>
      <c r="M41" s="15"/>
      <c r="N41" s="16"/>
      <c r="O41" s="62"/>
      <c r="P41" s="9"/>
      <c r="Q41" s="9"/>
    </row>
    <row r="42" spans="1:17" ht="15.75">
      <c r="A42" s="9"/>
      <c r="B42" s="72" t="str">
        <f>"Year 1 establishment - "&amp;'Seed, Fertilizer &amp; Chemicals'!C7&amp;" nurse crop"</f>
        <v>Year 1 establishment - Wheat nurse crop</v>
      </c>
      <c r="C42" s="4">
        <v>80</v>
      </c>
      <c r="D42" s="18">
        <f>$G$33*C42</f>
        <v>42.283409422926816</v>
      </c>
      <c r="E42" s="9"/>
      <c r="F42" s="4">
        <v>30</v>
      </c>
      <c r="G42" s="18">
        <f>$G$34*F42</f>
        <v>17.031618353144502</v>
      </c>
      <c r="H42" s="9"/>
      <c r="I42" s="5">
        <v>0</v>
      </c>
      <c r="J42" s="18">
        <f>$G$35*I42</f>
        <v>0</v>
      </c>
      <c r="K42" s="9"/>
      <c r="L42" s="4">
        <v>0</v>
      </c>
      <c r="M42" s="18">
        <f>$G$36*L42</f>
        <v>0</v>
      </c>
      <c r="N42" s="9"/>
      <c r="O42" s="11">
        <f>D42+G42+J42+M42</f>
        <v>59.31502777607132</v>
      </c>
      <c r="P42" s="9"/>
      <c r="Q42" s="9"/>
    </row>
    <row r="43" spans="1:17" ht="15.75">
      <c r="A43" s="9"/>
      <c r="B43" s="9" t="s">
        <v>234</v>
      </c>
      <c r="C43" s="4">
        <v>0</v>
      </c>
      <c r="D43" s="18">
        <f>$G$33*C43</f>
        <v>0</v>
      </c>
      <c r="E43" s="9"/>
      <c r="F43" s="4">
        <v>30</v>
      </c>
      <c r="G43" s="18">
        <f>$G$34*F43</f>
        <v>17.031618353144502</v>
      </c>
      <c r="H43" s="9"/>
      <c r="I43" s="5">
        <v>0</v>
      </c>
      <c r="J43" s="18">
        <f>$G$35*I43</f>
        <v>0</v>
      </c>
      <c r="K43" s="9"/>
      <c r="L43" s="4">
        <v>0</v>
      </c>
      <c r="M43" s="18">
        <f>$G$36*L43</f>
        <v>0</v>
      </c>
      <c r="N43" s="9"/>
      <c r="O43" s="11">
        <f>D43+G43+J43+M43</f>
        <v>17.031618353144502</v>
      </c>
      <c r="P43" s="9"/>
      <c r="Q43" s="9"/>
    </row>
    <row r="44" spans="1:17" ht="15.75">
      <c r="A44" s="9"/>
      <c r="B44" s="9" t="str">
        <f>"Annual years 2 to "&amp;Production!D17&amp;" seed production"</f>
        <v>Annual years 2 to 5 seed production</v>
      </c>
      <c r="C44" s="4">
        <v>0</v>
      </c>
      <c r="D44" s="18">
        <f>$G$33*C44</f>
        <v>0</v>
      </c>
      <c r="E44" s="9"/>
      <c r="F44" s="4">
        <v>30</v>
      </c>
      <c r="G44" s="18">
        <f>$G$34*F44</f>
        <v>17.031618353144502</v>
      </c>
      <c r="H44" s="9"/>
      <c r="I44" s="5">
        <v>10</v>
      </c>
      <c r="J44" s="18">
        <f>$G$35*I44</f>
        <v>3.8329200659262246</v>
      </c>
      <c r="K44" s="9"/>
      <c r="L44" s="4">
        <v>10</v>
      </c>
      <c r="M44" s="18">
        <f>$G$36*L44</f>
        <v>3.971465285700508</v>
      </c>
      <c r="N44" s="9"/>
      <c r="O44" s="11">
        <f>D44+G44+J44+M44</f>
        <v>24.836003704771233</v>
      </c>
      <c r="P44" s="9"/>
      <c r="Q44" s="9"/>
    </row>
    <row r="45" spans="1:17" ht="15.75">
      <c r="A45" s="10" t="s">
        <v>166</v>
      </c>
      <c r="B45" s="9"/>
      <c r="C45" s="4"/>
      <c r="D45" s="18"/>
      <c r="E45" s="9"/>
      <c r="F45" s="4"/>
      <c r="G45" s="18"/>
      <c r="H45" s="9"/>
      <c r="I45" s="5"/>
      <c r="J45" s="18"/>
      <c r="K45" s="9"/>
      <c r="L45" s="4"/>
      <c r="M45" s="18"/>
      <c r="N45" s="9"/>
      <c r="O45" s="11"/>
      <c r="P45" s="9"/>
      <c r="Q45" s="9"/>
    </row>
    <row r="46" spans="1:17" ht="15.75">
      <c r="A46" s="9"/>
      <c r="B46" s="72" t="str">
        <f>"Year 1 establishment - "&amp;'Seed, Fertilizer &amp; Chemicals'!C10&amp;" nurse crop"</f>
        <v>Year 1 establishment - Wheat nurse crop</v>
      </c>
      <c r="C46" s="4">
        <v>80</v>
      </c>
      <c r="D46" s="18">
        <f>$G$33*C46</f>
        <v>42.283409422926816</v>
      </c>
      <c r="E46" s="9"/>
      <c r="F46" s="4">
        <v>25</v>
      </c>
      <c r="G46" s="18">
        <f>$G$34*F46</f>
        <v>14.193015294287084</v>
      </c>
      <c r="H46" s="9"/>
      <c r="I46" s="5">
        <v>0</v>
      </c>
      <c r="J46" s="18">
        <f>$G$35*I46</f>
        <v>0</v>
      </c>
      <c r="K46" s="9"/>
      <c r="L46" s="4">
        <v>0</v>
      </c>
      <c r="M46" s="18">
        <f>$G$36*L46</f>
        <v>0</v>
      </c>
      <c r="N46" s="9"/>
      <c r="O46" s="11">
        <f>D46+G46+J46+M46</f>
        <v>56.4764247172139</v>
      </c>
      <c r="P46" s="9"/>
      <c r="Q46" s="9"/>
    </row>
    <row r="47" spans="1:17" ht="15.75">
      <c r="A47" s="9"/>
      <c r="B47" s="9" t="s">
        <v>234</v>
      </c>
      <c r="C47" s="4">
        <v>80</v>
      </c>
      <c r="D47" s="18">
        <f>$G$33*C47</f>
        <v>42.283409422926816</v>
      </c>
      <c r="E47" s="9"/>
      <c r="F47" s="4">
        <v>20</v>
      </c>
      <c r="G47" s="18">
        <f>$G$34*F47</f>
        <v>11.354412235429667</v>
      </c>
      <c r="H47" s="9"/>
      <c r="I47" s="5">
        <v>0</v>
      </c>
      <c r="J47" s="18">
        <f>$G$35*I47</f>
        <v>0</v>
      </c>
      <c r="K47" s="9"/>
      <c r="L47" s="4">
        <v>0</v>
      </c>
      <c r="M47" s="18">
        <f>$G$36*L47</f>
        <v>0</v>
      </c>
      <c r="N47" s="9"/>
      <c r="O47" s="11">
        <f>D47+G47+J47+M47</f>
        <v>53.637821658356486</v>
      </c>
      <c r="P47" s="9"/>
      <c r="Q47" s="9"/>
    </row>
    <row r="48" spans="1:17" ht="15.75">
      <c r="A48" s="9"/>
      <c r="B48" s="9" t="str">
        <f>"Annual years 2 to "&amp;Production!E17&amp;" seed production"</f>
        <v>Annual years 2 to 5 seed production</v>
      </c>
      <c r="C48" s="4">
        <v>100</v>
      </c>
      <c r="D48" s="18">
        <f>$G$33*C48</f>
        <v>52.85426177865852</v>
      </c>
      <c r="E48" s="9"/>
      <c r="F48" s="4">
        <v>20</v>
      </c>
      <c r="G48" s="18">
        <f>$G$34*F48</f>
        <v>11.354412235429667</v>
      </c>
      <c r="H48" s="9"/>
      <c r="I48" s="5">
        <v>0</v>
      </c>
      <c r="J48" s="18">
        <f>$G$35*I48</f>
        <v>0</v>
      </c>
      <c r="K48" s="9"/>
      <c r="L48" s="4">
        <v>0</v>
      </c>
      <c r="M48" s="18">
        <f>$G$36*L48</f>
        <v>0</v>
      </c>
      <c r="N48" s="9"/>
      <c r="O48" s="11">
        <f>D48+G48+J48+M48</f>
        <v>64.20867401408819</v>
      </c>
      <c r="P48" s="9"/>
      <c r="Q48" s="9"/>
    </row>
    <row r="49" spans="1:17" ht="15.75">
      <c r="A49" s="10" t="s">
        <v>168</v>
      </c>
      <c r="B49" s="9"/>
      <c r="C49" s="4"/>
      <c r="D49" s="18"/>
      <c r="E49" s="9"/>
      <c r="F49" s="4"/>
      <c r="G49" s="18"/>
      <c r="H49" s="9"/>
      <c r="I49" s="5"/>
      <c r="J49" s="18"/>
      <c r="K49" s="9"/>
      <c r="L49" s="4"/>
      <c r="M49" s="18"/>
      <c r="N49" s="9"/>
      <c r="O49" s="11"/>
      <c r="P49" s="9"/>
      <c r="Q49" s="9"/>
    </row>
    <row r="50" spans="1:17" ht="15.75">
      <c r="A50" s="9"/>
      <c r="B50" s="9" t="s">
        <v>235</v>
      </c>
      <c r="C50" s="4">
        <v>100</v>
      </c>
      <c r="D50" s="18">
        <f>$G$33*C50</f>
        <v>52.85426177865852</v>
      </c>
      <c r="E50" s="9"/>
      <c r="F50" s="4">
        <v>20</v>
      </c>
      <c r="G50" s="18">
        <f>$G$34*F50</f>
        <v>11.354412235429667</v>
      </c>
      <c r="H50" s="9"/>
      <c r="I50" s="5">
        <v>0</v>
      </c>
      <c r="J50" s="18">
        <f>$G$35*I50</f>
        <v>0</v>
      </c>
      <c r="K50" s="9"/>
      <c r="L50" s="4">
        <v>0</v>
      </c>
      <c r="M50" s="18">
        <f>$G$36*L50</f>
        <v>0</v>
      </c>
      <c r="N50" s="9"/>
      <c r="O50" s="11">
        <f>D50+G50+J50+M50</f>
        <v>64.20867401408819</v>
      </c>
      <c r="P50" s="9"/>
      <c r="Q50" s="9"/>
    </row>
    <row r="51" spans="1:17" ht="15.75">
      <c r="A51" s="10" t="s">
        <v>157</v>
      </c>
      <c r="B51" s="9"/>
      <c r="C51" s="4"/>
      <c r="D51" s="18"/>
      <c r="E51" s="9"/>
      <c r="F51" s="4"/>
      <c r="G51" s="18"/>
      <c r="H51" s="9"/>
      <c r="I51" s="5"/>
      <c r="J51" s="18"/>
      <c r="K51" s="9"/>
      <c r="L51" s="4"/>
      <c r="M51" s="18"/>
      <c r="N51" s="9"/>
      <c r="O51" s="11"/>
      <c r="P51" s="9"/>
      <c r="Q51" s="9"/>
    </row>
    <row r="52" spans="1:17" ht="15.75">
      <c r="A52" s="9"/>
      <c r="B52" s="72" t="str">
        <f>"Year 1 establishment - "&amp;'Seed, Fertilizer &amp; Chemicals'!C15&amp;" nurse crop"</f>
        <v>Year 1 establishment - Wheat nurse crop</v>
      </c>
      <c r="C52" s="4">
        <v>80</v>
      </c>
      <c r="D52" s="18">
        <f>$G$33*C52</f>
        <v>42.283409422926816</v>
      </c>
      <c r="E52" s="9"/>
      <c r="F52" s="4">
        <v>25</v>
      </c>
      <c r="G52" s="18">
        <f>$G$34*F52</f>
        <v>14.193015294287084</v>
      </c>
      <c r="H52" s="9"/>
      <c r="I52" s="5">
        <v>0</v>
      </c>
      <c r="J52" s="18">
        <f>$G$35*I52</f>
        <v>0</v>
      </c>
      <c r="K52" s="9"/>
      <c r="L52" s="4">
        <v>0</v>
      </c>
      <c r="M52" s="18">
        <f>$G$36*L52</f>
        <v>0</v>
      </c>
      <c r="N52" s="9"/>
      <c r="O52" s="11">
        <f>D52+G52+J52+M52</f>
        <v>56.4764247172139</v>
      </c>
      <c r="P52" s="9"/>
      <c r="Q52" s="9"/>
    </row>
    <row r="53" spans="1:17" ht="15.75">
      <c r="A53" s="9"/>
      <c r="B53" s="9" t="str">
        <f>"Annual year 2 seed production"</f>
        <v>Annual year 2 seed production</v>
      </c>
      <c r="C53" s="4">
        <v>0</v>
      </c>
      <c r="D53" s="18">
        <f>$G$33*C53</f>
        <v>0</v>
      </c>
      <c r="E53" s="9"/>
      <c r="F53" s="4">
        <v>30</v>
      </c>
      <c r="G53" s="18">
        <f>$G$34*F53</f>
        <v>17.031618353144502</v>
      </c>
      <c r="H53" s="9"/>
      <c r="I53" s="5">
        <v>10</v>
      </c>
      <c r="J53" s="18">
        <f>$G$35*I53</f>
        <v>3.8329200659262246</v>
      </c>
      <c r="K53" s="9"/>
      <c r="L53" s="4">
        <v>10</v>
      </c>
      <c r="M53" s="18">
        <f>$G$36*L53</f>
        <v>3.971465285700508</v>
      </c>
      <c r="N53" s="9"/>
      <c r="O53" s="11">
        <f>D53+G53+J53+M53</f>
        <v>24.836003704771233</v>
      </c>
      <c r="P53" s="9"/>
      <c r="Q53" s="9"/>
    </row>
    <row r="54" spans="1:17" ht="15.75">
      <c r="A54" s="10" t="s">
        <v>171</v>
      </c>
      <c r="B54" s="9"/>
      <c r="C54" s="4"/>
      <c r="D54" s="18"/>
      <c r="E54" s="9"/>
      <c r="F54" s="4"/>
      <c r="G54" s="18"/>
      <c r="H54" s="9"/>
      <c r="I54" s="5"/>
      <c r="J54" s="18"/>
      <c r="K54" s="9"/>
      <c r="L54" s="4"/>
      <c r="M54" s="18"/>
      <c r="N54" s="9"/>
      <c r="O54" s="11"/>
      <c r="P54" s="9"/>
      <c r="Q54" s="9"/>
    </row>
    <row r="55" spans="1:17" ht="15.75">
      <c r="A55" s="9"/>
      <c r="B55" s="72" t="str">
        <f>"Year 1 establishment - "&amp;'Seed, Fertilizer &amp; Chemicals'!C18&amp;" nurse crop"</f>
        <v>Year 1 establishment - Wheat nurse crop</v>
      </c>
      <c r="C55" s="4">
        <v>80</v>
      </c>
      <c r="D55" s="18">
        <f>$G$33*C55</f>
        <v>42.283409422926816</v>
      </c>
      <c r="E55" s="9"/>
      <c r="F55" s="4">
        <v>25</v>
      </c>
      <c r="G55" s="18">
        <f>$G$34*F55</f>
        <v>14.193015294287084</v>
      </c>
      <c r="H55" s="9"/>
      <c r="I55" s="5">
        <v>0</v>
      </c>
      <c r="J55" s="18">
        <f>$G$35*I55</f>
        <v>0</v>
      </c>
      <c r="K55" s="9"/>
      <c r="L55" s="4">
        <v>0</v>
      </c>
      <c r="M55" s="18">
        <f>$G$36*L55</f>
        <v>0</v>
      </c>
      <c r="N55" s="9"/>
      <c r="O55" s="11">
        <f>D55+G55+J55+M55</f>
        <v>56.4764247172139</v>
      </c>
      <c r="P55" s="9"/>
      <c r="Q55" s="9"/>
    </row>
    <row r="56" spans="1:17" ht="15.75">
      <c r="A56" s="9"/>
      <c r="B56" s="9" t="str">
        <f>"Annual year 2 seed production"</f>
        <v>Annual year 2 seed production</v>
      </c>
      <c r="C56" s="4">
        <v>120</v>
      </c>
      <c r="D56" s="18">
        <f>$G$33*C56</f>
        <v>63.42511413439022</v>
      </c>
      <c r="E56" s="9"/>
      <c r="F56" s="4">
        <v>20</v>
      </c>
      <c r="G56" s="18">
        <f>$G$34*F56</f>
        <v>11.354412235429667</v>
      </c>
      <c r="H56" s="9"/>
      <c r="I56" s="5">
        <v>0</v>
      </c>
      <c r="J56" s="18">
        <f>$G$35*I56</f>
        <v>0</v>
      </c>
      <c r="K56" s="9"/>
      <c r="L56" s="4">
        <v>0</v>
      </c>
      <c r="M56" s="18">
        <f>$G$36*L56</f>
        <v>0</v>
      </c>
      <c r="N56" s="9"/>
      <c r="O56" s="11">
        <f>D56+G56+J56+M56</f>
        <v>74.77952636981989</v>
      </c>
      <c r="P56" s="9"/>
      <c r="Q56" s="9"/>
    </row>
    <row r="57" spans="1:17" ht="15.75">
      <c r="A57" s="10" t="s">
        <v>173</v>
      </c>
      <c r="B57" s="9"/>
      <c r="C57" s="4"/>
      <c r="D57" s="18"/>
      <c r="E57" s="9"/>
      <c r="F57" s="4"/>
      <c r="G57" s="18"/>
      <c r="H57" s="9"/>
      <c r="I57" s="5"/>
      <c r="J57" s="18"/>
      <c r="K57" s="9"/>
      <c r="L57" s="4"/>
      <c r="M57" s="18"/>
      <c r="N57" s="9"/>
      <c r="O57" s="11"/>
      <c r="P57" s="9"/>
      <c r="Q57" s="9"/>
    </row>
    <row r="58" spans="1:17" ht="15.75">
      <c r="A58" s="9"/>
      <c r="B58" s="72" t="str">
        <f>"Year 1 establishment - "&amp;'Seed, Fertilizer &amp; Chemicals'!C21&amp;" nurse crop"</f>
        <v>Year 1 establishment - Wheat nurse crop</v>
      </c>
      <c r="C58" s="4">
        <v>80</v>
      </c>
      <c r="D58" s="18">
        <f>$G$33*C58</f>
        <v>42.283409422926816</v>
      </c>
      <c r="E58" s="9"/>
      <c r="F58" s="4">
        <v>25</v>
      </c>
      <c r="G58" s="18">
        <f>$G$34*F58</f>
        <v>14.193015294287084</v>
      </c>
      <c r="H58" s="9"/>
      <c r="I58" s="5">
        <v>0</v>
      </c>
      <c r="J58" s="18">
        <f>$G$35*I58</f>
        <v>0</v>
      </c>
      <c r="K58" s="9"/>
      <c r="L58" s="4">
        <v>0</v>
      </c>
      <c r="M58" s="18">
        <f>$G$36*L58</f>
        <v>0</v>
      </c>
      <c r="N58" s="9"/>
      <c r="O58" s="11">
        <f>D58+G58+J58+M58</f>
        <v>56.4764247172139</v>
      </c>
      <c r="P58" s="9"/>
      <c r="Q58" s="9"/>
    </row>
    <row r="59" spans="1:17" ht="15.75">
      <c r="A59" s="9"/>
      <c r="B59" s="9" t="str">
        <f>"Annual years 2 to "&amp;Production!G17&amp;" seed production"</f>
        <v>Annual years 2 to 4 seed production</v>
      </c>
      <c r="C59" s="4">
        <v>100</v>
      </c>
      <c r="D59" s="18">
        <f>$G$33*C59</f>
        <v>52.85426177865852</v>
      </c>
      <c r="E59" s="9"/>
      <c r="F59" s="4">
        <v>20</v>
      </c>
      <c r="G59" s="18">
        <f>$G$34*F59</f>
        <v>11.354412235429667</v>
      </c>
      <c r="H59" s="9"/>
      <c r="I59" s="5">
        <v>0</v>
      </c>
      <c r="J59" s="18">
        <f>$G$35*I59</f>
        <v>0</v>
      </c>
      <c r="K59" s="9"/>
      <c r="L59" s="4">
        <v>0</v>
      </c>
      <c r="M59" s="18">
        <f>$G$36*L59</f>
        <v>0</v>
      </c>
      <c r="N59" s="9"/>
      <c r="O59" s="11">
        <f>D59+G59+J59+M59</f>
        <v>64.20867401408819</v>
      </c>
      <c r="P59" s="9"/>
      <c r="Q59" s="9"/>
    </row>
    <row r="60" spans="1:17" ht="15.75">
      <c r="A60" s="10" t="s">
        <v>175</v>
      </c>
      <c r="B60" s="9"/>
      <c r="C60" s="4"/>
      <c r="D60" s="18"/>
      <c r="E60" s="9"/>
      <c r="F60" s="4"/>
      <c r="G60" s="18"/>
      <c r="H60" s="9"/>
      <c r="I60" s="5"/>
      <c r="J60" s="18"/>
      <c r="K60" s="9"/>
      <c r="L60" s="4"/>
      <c r="M60" s="18"/>
      <c r="N60" s="9"/>
      <c r="O60" s="11"/>
      <c r="P60" s="9"/>
      <c r="Q60" s="9"/>
    </row>
    <row r="61" spans="1:17" ht="15.75">
      <c r="A61" s="9"/>
      <c r="B61" s="72" t="str">
        <f>"Year 1 establishment - "&amp;'Seed, Fertilizer &amp; Chemicals'!C24&amp;" nurse crop"</f>
        <v>Year 1 establishment - Wheat nurse crop</v>
      </c>
      <c r="C61" s="4">
        <v>60</v>
      </c>
      <c r="D61" s="18">
        <f>$G$33*C61</f>
        <v>31.71255706719511</v>
      </c>
      <c r="E61" s="9"/>
      <c r="F61" s="4">
        <v>20</v>
      </c>
      <c r="G61" s="18">
        <f>$G$34*F61</f>
        <v>11.354412235429667</v>
      </c>
      <c r="H61" s="9"/>
      <c r="I61" s="5">
        <v>0</v>
      </c>
      <c r="J61" s="18">
        <f>$G$35*I61</f>
        <v>0</v>
      </c>
      <c r="K61" s="9"/>
      <c r="L61" s="4">
        <v>0</v>
      </c>
      <c r="M61" s="18">
        <f>$G$36*L61</f>
        <v>0</v>
      </c>
      <c r="N61" s="9"/>
      <c r="O61" s="11">
        <f>D61+G61+J61+M61</f>
        <v>43.06696930262478</v>
      </c>
      <c r="P61" s="9"/>
      <c r="Q61" s="9"/>
    </row>
    <row r="62" spans="1:17" ht="15.75">
      <c r="A62" s="9"/>
      <c r="B62" s="9" t="str">
        <f>"Annual years 2 to "&amp;Production!I17&amp;" seed production"</f>
        <v>Annual years 2 to 5 seed production</v>
      </c>
      <c r="C62" s="4">
        <v>0</v>
      </c>
      <c r="D62" s="18">
        <f>$G$33*C62</f>
        <v>0</v>
      </c>
      <c r="E62" s="9"/>
      <c r="F62" s="4">
        <v>30</v>
      </c>
      <c r="G62" s="18">
        <f>$G$34*F62</f>
        <v>17.031618353144502</v>
      </c>
      <c r="H62" s="9"/>
      <c r="I62" s="5">
        <v>10</v>
      </c>
      <c r="J62" s="18">
        <f>$G$35*I62</f>
        <v>3.8329200659262246</v>
      </c>
      <c r="K62" s="9"/>
      <c r="L62" s="4">
        <v>10</v>
      </c>
      <c r="M62" s="18">
        <f>$G$36*L62</f>
        <v>3.971465285700508</v>
      </c>
      <c r="N62" s="9"/>
      <c r="O62" s="11">
        <f>D62+G62+J62+M62</f>
        <v>24.836003704771233</v>
      </c>
      <c r="P62" s="9"/>
      <c r="Q62" s="9"/>
    </row>
    <row r="63" spans="1:17" ht="15.75">
      <c r="A63" s="10" t="s">
        <v>132</v>
      </c>
      <c r="B63" s="9"/>
      <c r="C63" s="4"/>
      <c r="D63" s="18"/>
      <c r="E63" s="9"/>
      <c r="F63" s="4"/>
      <c r="G63" s="18"/>
      <c r="H63" s="9"/>
      <c r="I63" s="5"/>
      <c r="J63" s="18"/>
      <c r="K63" s="9"/>
      <c r="L63" s="4"/>
      <c r="M63" s="18"/>
      <c r="N63" s="9"/>
      <c r="O63" s="11"/>
      <c r="P63" s="9"/>
      <c r="Q63" s="9"/>
    </row>
    <row r="64" spans="1:17" ht="15.75">
      <c r="A64" s="9"/>
      <c r="B64" s="72" t="str">
        <f>"Year 1 establishment - "&amp;'Seed, Fertilizer &amp; Chemicals'!C27&amp;" nurse crop"</f>
        <v>Year 1 establishment - Wheat nurse crop</v>
      </c>
      <c r="C64" s="4">
        <v>60</v>
      </c>
      <c r="D64" s="18">
        <f>$G$33*C64</f>
        <v>31.71255706719511</v>
      </c>
      <c r="E64" s="9"/>
      <c r="F64" s="4">
        <v>20</v>
      </c>
      <c r="G64" s="18">
        <f>$G$34*F64</f>
        <v>11.354412235429667</v>
      </c>
      <c r="H64" s="9"/>
      <c r="I64" s="5">
        <v>0</v>
      </c>
      <c r="J64" s="18">
        <f>$G$35*I64</f>
        <v>0</v>
      </c>
      <c r="K64" s="9"/>
      <c r="L64" s="4">
        <v>0</v>
      </c>
      <c r="M64" s="18">
        <f>$G$36*L64</f>
        <v>0</v>
      </c>
      <c r="N64" s="9"/>
      <c r="O64" s="11">
        <f>D64+G64+J64+M64</f>
        <v>43.06696930262478</v>
      </c>
      <c r="P64" s="9"/>
      <c r="Q64" s="9"/>
    </row>
    <row r="65" spans="1:17" ht="15.75">
      <c r="A65" s="9"/>
      <c r="B65" s="9" t="s">
        <v>234</v>
      </c>
      <c r="C65" s="4">
        <v>90</v>
      </c>
      <c r="D65" s="18">
        <f>$G$33*C65</f>
        <v>47.56883560079267</v>
      </c>
      <c r="E65" s="9"/>
      <c r="F65" s="4">
        <v>30</v>
      </c>
      <c r="G65" s="18">
        <f>$G$34*F65</f>
        <v>17.031618353144502</v>
      </c>
      <c r="H65" s="9"/>
      <c r="I65" s="5">
        <v>0</v>
      </c>
      <c r="J65" s="18">
        <f>$G$35*I65</f>
        <v>0</v>
      </c>
      <c r="K65" s="9"/>
      <c r="L65" s="4">
        <v>0</v>
      </c>
      <c r="M65" s="18">
        <f>$G$36*L65</f>
        <v>0</v>
      </c>
      <c r="N65" s="9"/>
      <c r="O65" s="11">
        <f>D65+G65+J65+M65</f>
        <v>64.60045395393718</v>
      </c>
      <c r="P65" s="9"/>
      <c r="Q65" s="9"/>
    </row>
    <row r="66" spans="1:17" ht="15.75">
      <c r="A66" s="9"/>
      <c r="B66" s="9" t="str">
        <f>"Annual years 2 to "&amp;Production!K17&amp;" seed production"</f>
        <v>Annual years 2 to 4 seed production</v>
      </c>
      <c r="C66" s="4">
        <v>100</v>
      </c>
      <c r="D66" s="18">
        <f>$G$33*C66</f>
        <v>52.85426177865852</v>
      </c>
      <c r="E66" s="9"/>
      <c r="F66" s="4">
        <v>20</v>
      </c>
      <c r="G66" s="18">
        <f>$G$34*F66</f>
        <v>11.354412235429667</v>
      </c>
      <c r="H66" s="9"/>
      <c r="I66" s="5">
        <v>0</v>
      </c>
      <c r="J66" s="18">
        <f>$G$35*I66</f>
        <v>0</v>
      </c>
      <c r="K66" s="9"/>
      <c r="L66" s="4">
        <v>0</v>
      </c>
      <c r="M66" s="18">
        <f>$G$36*L66</f>
        <v>0</v>
      </c>
      <c r="N66" s="9"/>
      <c r="O66" s="11">
        <f>D66+G66+J66+M66</f>
        <v>64.20867401408819</v>
      </c>
      <c r="P66" s="9"/>
      <c r="Q66" s="9"/>
    </row>
    <row r="67" spans="1:17" ht="15.75">
      <c r="A67" s="9"/>
      <c r="B67" s="9"/>
      <c r="C67" s="4"/>
      <c r="D67" s="18"/>
      <c r="E67" s="9"/>
      <c r="F67" s="4"/>
      <c r="G67" s="18"/>
      <c r="H67" s="9"/>
      <c r="I67" s="5"/>
      <c r="J67" s="18"/>
      <c r="K67" s="9"/>
      <c r="L67" s="4"/>
      <c r="M67" s="18"/>
      <c r="N67" s="9"/>
      <c r="O67" s="11"/>
      <c r="P67" s="9"/>
      <c r="Q67" s="9"/>
    </row>
    <row r="68" spans="1:17" ht="15">
      <c r="A68" s="516" t="s">
        <v>224</v>
      </c>
      <c r="B68" s="516"/>
      <c r="C68" s="516"/>
      <c r="D68" s="516"/>
      <c r="E68" s="516"/>
      <c r="F68" s="516"/>
      <c r="G68" s="516"/>
      <c r="H68" s="516"/>
      <c r="I68" s="516"/>
      <c r="J68" s="516"/>
      <c r="K68" s="516"/>
      <c r="L68" s="516"/>
      <c r="M68" s="516"/>
      <c r="N68" s="516"/>
      <c r="O68" s="516"/>
      <c r="P68" s="9"/>
      <c r="Q68" s="9"/>
    </row>
    <row r="69" spans="1:17" ht="15">
      <c r="A69" s="516"/>
      <c r="B69" s="516"/>
      <c r="C69" s="516"/>
      <c r="D69" s="516"/>
      <c r="E69" s="516"/>
      <c r="F69" s="516"/>
      <c r="G69" s="516"/>
      <c r="H69" s="516"/>
      <c r="I69" s="516"/>
      <c r="J69" s="516"/>
      <c r="K69" s="516"/>
      <c r="L69" s="516"/>
      <c r="M69" s="516"/>
      <c r="N69" s="516"/>
      <c r="O69" s="516"/>
      <c r="P69" s="9"/>
      <c r="Q69" s="9"/>
    </row>
    <row r="70" spans="1:17" ht="15" customHeight="1">
      <c r="A70" s="9"/>
      <c r="C70" s="349"/>
      <c r="D70" s="349"/>
      <c r="E70" s="349"/>
      <c r="F70" s="349"/>
      <c r="G70" s="349"/>
      <c r="H70" s="349"/>
      <c r="I70" s="349"/>
      <c r="J70" s="349"/>
      <c r="K70" s="349"/>
      <c r="L70" s="349"/>
      <c r="M70" s="349"/>
      <c r="N70" s="349"/>
      <c r="O70" s="349"/>
      <c r="P70" s="9"/>
      <c r="Q70" s="9"/>
    </row>
    <row r="71" spans="1:15" ht="18">
      <c r="A71" s="511" t="s">
        <v>27</v>
      </c>
      <c r="B71" s="511"/>
      <c r="C71" s="511"/>
      <c r="D71" s="511"/>
      <c r="E71" s="511"/>
      <c r="F71" s="511"/>
      <c r="G71" s="511"/>
      <c r="H71" s="511"/>
      <c r="I71" s="511"/>
      <c r="J71" s="511"/>
      <c r="K71" s="511"/>
      <c r="L71" s="511"/>
      <c r="M71" s="511"/>
      <c r="N71" s="511"/>
      <c r="O71" s="511"/>
    </row>
    <row r="72" spans="1:12" ht="15">
      <c r="A72" s="9"/>
      <c r="B72" s="34"/>
      <c r="C72" s="42"/>
      <c r="D72" s="42"/>
      <c r="E72" s="42"/>
      <c r="F72" s="42"/>
      <c r="G72" s="42"/>
      <c r="H72" s="42"/>
      <c r="I72" s="42"/>
      <c r="J72" s="42"/>
      <c r="K72" s="34"/>
      <c r="L72" s="9"/>
    </row>
    <row r="73" spans="1:13" ht="15.75">
      <c r="A73" s="9"/>
      <c r="B73" s="34"/>
      <c r="D73" s="327" t="s">
        <v>65</v>
      </c>
      <c r="E73" s="103"/>
      <c r="F73" s="327" t="s">
        <v>13</v>
      </c>
      <c r="G73" s="327" t="s">
        <v>14</v>
      </c>
      <c r="I73" s="103"/>
      <c r="J73" s="327" t="s">
        <v>177</v>
      </c>
      <c r="K73" s="103"/>
      <c r="M73" s="46" t="s">
        <v>15</v>
      </c>
    </row>
    <row r="74" spans="1:13" ht="15.75">
      <c r="A74" s="9"/>
      <c r="B74" s="34"/>
      <c r="D74" s="327" t="s">
        <v>16</v>
      </c>
      <c r="E74" s="103"/>
      <c r="F74" s="327" t="s">
        <v>16</v>
      </c>
      <c r="G74" s="327" t="s">
        <v>16</v>
      </c>
      <c r="I74" s="103"/>
      <c r="J74" s="327" t="s">
        <v>16</v>
      </c>
      <c r="K74" s="103"/>
      <c r="M74" s="46" t="s">
        <v>2</v>
      </c>
    </row>
    <row r="75" spans="1:13" ht="15.75">
      <c r="A75" s="48" t="s">
        <v>3</v>
      </c>
      <c r="B75" s="9"/>
      <c r="D75" s="328" t="s">
        <v>12</v>
      </c>
      <c r="E75" s="329"/>
      <c r="F75" s="328" t="s">
        <v>12</v>
      </c>
      <c r="G75" s="328" t="s">
        <v>12</v>
      </c>
      <c r="I75" s="329"/>
      <c r="J75" s="328" t="s">
        <v>12</v>
      </c>
      <c r="K75" s="329"/>
      <c r="M75" s="49" t="s">
        <v>12</v>
      </c>
    </row>
    <row r="76" spans="1:13" ht="15.75">
      <c r="A76" s="9"/>
      <c r="B76" s="48"/>
      <c r="D76" s="328"/>
      <c r="E76" s="329"/>
      <c r="F76" s="328"/>
      <c r="G76" s="328"/>
      <c r="I76" s="329"/>
      <c r="J76" s="329"/>
      <c r="K76" s="329"/>
      <c r="M76" s="49"/>
    </row>
    <row r="77" spans="1:13" ht="15.75">
      <c r="A77" s="10" t="s">
        <v>164</v>
      </c>
      <c r="B77" s="9"/>
      <c r="D77" s="252"/>
      <c r="E77" s="42"/>
      <c r="F77" s="252"/>
      <c r="G77" s="331"/>
      <c r="I77" s="42"/>
      <c r="J77" s="42"/>
      <c r="K77" s="42"/>
      <c r="M77" s="302"/>
    </row>
    <row r="78" spans="1:13" ht="15.75">
      <c r="A78" s="9"/>
      <c r="B78" s="72" t="str">
        <f>"Year 1 establishment - "&amp;'Seed, Fertilizer &amp; Chemicals'!C7&amp;" nurse crop"</f>
        <v>Year 1 establishment - Wheat nurse crop</v>
      </c>
      <c r="D78" s="54">
        <v>15.5</v>
      </c>
      <c r="E78" s="42"/>
      <c r="F78" s="54">
        <v>0</v>
      </c>
      <c r="G78" s="55">
        <v>0</v>
      </c>
      <c r="I78" s="42"/>
      <c r="J78" s="55">
        <v>0</v>
      </c>
      <c r="K78" s="42"/>
      <c r="M78" s="302">
        <f>D78+F78+G78</f>
        <v>15.5</v>
      </c>
    </row>
    <row r="79" spans="1:13" ht="18">
      <c r="A79" s="9"/>
      <c r="B79" s="9" t="s">
        <v>234</v>
      </c>
      <c r="D79" s="54">
        <v>15.5</v>
      </c>
      <c r="E79" s="42"/>
      <c r="F79" s="54">
        <v>0</v>
      </c>
      <c r="G79" s="55">
        <v>0</v>
      </c>
      <c r="I79" s="330"/>
      <c r="J79" s="55">
        <v>0</v>
      </c>
      <c r="K79" s="330"/>
      <c r="M79" s="302">
        <f>D79+F79+G79</f>
        <v>15.5</v>
      </c>
    </row>
    <row r="80" spans="1:13" ht="15.75">
      <c r="A80" s="9"/>
      <c r="B80" s="9" t="str">
        <f>"Annual years 2 to "&amp;Production!D17&amp;" seed production"</f>
        <v>Annual years 2 to 5 seed production</v>
      </c>
      <c r="D80" s="55">
        <v>49</v>
      </c>
      <c r="E80" s="42"/>
      <c r="F80" s="54">
        <v>36</v>
      </c>
      <c r="G80" s="55">
        <v>14</v>
      </c>
      <c r="I80" s="42"/>
      <c r="J80" s="55">
        <v>22</v>
      </c>
      <c r="K80" s="42"/>
      <c r="M80" s="302">
        <f>D80+F80+G80</f>
        <v>99</v>
      </c>
    </row>
    <row r="81" spans="1:13" ht="15.75">
      <c r="A81" s="10" t="s">
        <v>166</v>
      </c>
      <c r="B81" s="9"/>
      <c r="D81" s="54"/>
      <c r="E81" s="42"/>
      <c r="F81" s="54"/>
      <c r="G81" s="55"/>
      <c r="I81" s="42"/>
      <c r="J81" s="332"/>
      <c r="K81" s="42"/>
      <c r="M81" s="302"/>
    </row>
    <row r="82" spans="1:13" ht="15.75">
      <c r="A82" s="9"/>
      <c r="B82" s="72" t="str">
        <f>"Year 1 establishment - "&amp;'Seed, Fertilizer &amp; Chemicals'!C10&amp;" nurse crop"</f>
        <v>Year 1 establishment - Wheat nurse crop</v>
      </c>
      <c r="D82" s="54">
        <v>13</v>
      </c>
      <c r="E82" s="42"/>
      <c r="F82" s="54">
        <v>0</v>
      </c>
      <c r="G82" s="55">
        <v>0</v>
      </c>
      <c r="I82" s="42"/>
      <c r="J82" s="55">
        <v>0</v>
      </c>
      <c r="K82" s="42"/>
      <c r="M82" s="302">
        <f>D82+F82+G82</f>
        <v>13</v>
      </c>
    </row>
    <row r="83" spans="1:13" ht="15.75">
      <c r="A83" s="9"/>
      <c r="B83" s="9" t="s">
        <v>234</v>
      </c>
      <c r="D83" s="54">
        <v>13</v>
      </c>
      <c r="E83" s="42"/>
      <c r="F83" s="54">
        <v>0</v>
      </c>
      <c r="G83" s="55">
        <v>0</v>
      </c>
      <c r="I83" s="42"/>
      <c r="J83" s="55">
        <v>0</v>
      </c>
      <c r="K83" s="42"/>
      <c r="M83" s="302">
        <f>D83+F83+G83</f>
        <v>13</v>
      </c>
    </row>
    <row r="84" spans="1:13" ht="15.75">
      <c r="A84" s="9"/>
      <c r="B84" s="9" t="str">
        <f>"Annual years 2 to "&amp;Production!E17&amp;" seed production"</f>
        <v>Annual years 2 to 5 seed production</v>
      </c>
      <c r="D84" s="54">
        <v>10</v>
      </c>
      <c r="E84" s="42"/>
      <c r="F84" s="54">
        <v>0</v>
      </c>
      <c r="G84" s="55">
        <v>3</v>
      </c>
      <c r="I84" s="42"/>
      <c r="J84" s="55">
        <v>0</v>
      </c>
      <c r="K84" s="42"/>
      <c r="M84" s="302">
        <f>D84+F84+G84</f>
        <v>13</v>
      </c>
    </row>
    <row r="85" spans="1:13" ht="15.75">
      <c r="A85" s="10" t="s">
        <v>168</v>
      </c>
      <c r="B85" s="9"/>
      <c r="D85" s="54"/>
      <c r="E85" s="42"/>
      <c r="F85" s="54"/>
      <c r="G85" s="55"/>
      <c r="I85" s="42"/>
      <c r="J85" s="332"/>
      <c r="K85" s="42"/>
      <c r="M85" s="302"/>
    </row>
    <row r="86" spans="1:13" ht="15.75">
      <c r="A86" s="9"/>
      <c r="B86" s="9" t="s">
        <v>235</v>
      </c>
      <c r="D86" s="54">
        <v>23</v>
      </c>
      <c r="E86" s="42"/>
      <c r="F86" s="54">
        <v>0</v>
      </c>
      <c r="G86" s="55">
        <v>0</v>
      </c>
      <c r="I86" s="42"/>
      <c r="J86" s="55">
        <v>0</v>
      </c>
      <c r="K86" s="42"/>
      <c r="M86" s="302">
        <f>D86+F86+G86</f>
        <v>23</v>
      </c>
    </row>
    <row r="87" spans="1:13" ht="15.75">
      <c r="A87" s="10" t="s">
        <v>157</v>
      </c>
      <c r="B87" s="9"/>
      <c r="D87" s="54"/>
      <c r="E87" s="42"/>
      <c r="F87" s="54"/>
      <c r="G87" s="55"/>
      <c r="I87" s="42"/>
      <c r="J87" s="332"/>
      <c r="K87" s="42"/>
      <c r="M87" s="302"/>
    </row>
    <row r="88" spans="1:13" ht="15.75">
      <c r="A88" s="9"/>
      <c r="B88" s="72" t="str">
        <f>"Year 1 establishment - "&amp;'Seed, Fertilizer &amp; Chemicals'!C15&amp;" nurse crop"</f>
        <v>Year 1 establishment - Wheat nurse crop</v>
      </c>
      <c r="D88" s="54">
        <v>20</v>
      </c>
      <c r="E88" s="42"/>
      <c r="F88" s="54">
        <v>0</v>
      </c>
      <c r="G88" s="55">
        <v>0</v>
      </c>
      <c r="I88" s="42"/>
      <c r="J88" s="55">
        <v>0</v>
      </c>
      <c r="K88" s="42"/>
      <c r="M88" s="302">
        <f>D88+F88+G88</f>
        <v>20</v>
      </c>
    </row>
    <row r="89" spans="1:13" ht="15.75">
      <c r="A89" s="9"/>
      <c r="B89" s="9" t="str">
        <f>"Annual year 2 seed production"</f>
        <v>Annual year 2 seed production</v>
      </c>
      <c r="D89" s="54">
        <v>20</v>
      </c>
      <c r="E89" s="42"/>
      <c r="F89" s="54">
        <v>0</v>
      </c>
      <c r="G89" s="55">
        <v>0</v>
      </c>
      <c r="I89" s="42"/>
      <c r="J89" s="55">
        <v>0</v>
      </c>
      <c r="K89" s="42"/>
      <c r="M89" s="302">
        <f>D89+F89+G89</f>
        <v>20</v>
      </c>
    </row>
    <row r="90" spans="1:13" ht="15.75">
      <c r="A90" s="10" t="s">
        <v>171</v>
      </c>
      <c r="B90" s="9"/>
      <c r="D90" s="54"/>
      <c r="E90" s="42"/>
      <c r="F90" s="54"/>
      <c r="G90" s="55"/>
      <c r="I90" s="42"/>
      <c r="J90" s="332"/>
      <c r="K90" s="42"/>
      <c r="M90" s="302"/>
    </row>
    <row r="91" spans="1:13" ht="15.75">
      <c r="A91" s="9"/>
      <c r="B91" s="72" t="str">
        <f>"Year 1 establishment - "&amp;'Seed, Fertilizer &amp; Chemicals'!C18&amp;" nurse crop"</f>
        <v>Year 1 establishment - Wheat nurse crop</v>
      </c>
      <c r="D91" s="54">
        <v>28</v>
      </c>
      <c r="E91" s="42"/>
      <c r="F91" s="54">
        <v>0</v>
      </c>
      <c r="G91" s="55">
        <v>0</v>
      </c>
      <c r="I91" s="42"/>
      <c r="J91" s="55">
        <v>0</v>
      </c>
      <c r="K91" s="42"/>
      <c r="M91" s="302">
        <f>D91+F91+G91</f>
        <v>28</v>
      </c>
    </row>
    <row r="92" spans="1:13" ht="15.75">
      <c r="A92" s="9"/>
      <c r="B92" s="9" t="str">
        <f>"Annual year 2 seed production"</f>
        <v>Annual year 2 seed production</v>
      </c>
      <c r="D92" s="54">
        <v>24</v>
      </c>
      <c r="E92" s="42"/>
      <c r="F92" s="54">
        <v>17</v>
      </c>
      <c r="G92" s="55">
        <v>3</v>
      </c>
      <c r="I92" s="42"/>
      <c r="J92" s="55">
        <v>0</v>
      </c>
      <c r="K92" s="42"/>
      <c r="M92" s="302">
        <f>D92+F92+G92</f>
        <v>44</v>
      </c>
    </row>
    <row r="93" spans="1:13" ht="15.75">
      <c r="A93" s="10" t="s">
        <v>173</v>
      </c>
      <c r="B93" s="9"/>
      <c r="D93" s="54"/>
      <c r="E93" s="42"/>
      <c r="F93" s="54"/>
      <c r="G93" s="55"/>
      <c r="I93" s="333"/>
      <c r="J93" s="334"/>
      <c r="K93" s="333"/>
      <c r="M93" s="302"/>
    </row>
    <row r="94" spans="1:13" ht="15.75">
      <c r="A94" s="9"/>
      <c r="B94" s="72" t="str">
        <f>"Year 1 establishment - "&amp;'Seed, Fertilizer &amp; Chemicals'!C21&amp;" nurse crop"</f>
        <v>Year 1 establishment - Wheat nurse crop</v>
      </c>
      <c r="D94" s="54">
        <v>0</v>
      </c>
      <c r="E94" s="42"/>
      <c r="F94" s="54">
        <v>0</v>
      </c>
      <c r="G94" s="55">
        <v>0</v>
      </c>
      <c r="I94" s="42"/>
      <c r="J94" s="55">
        <v>0</v>
      </c>
      <c r="K94" s="42"/>
      <c r="M94" s="302">
        <f>D94+F94+G94</f>
        <v>0</v>
      </c>
    </row>
    <row r="95" spans="1:13" ht="15.75">
      <c r="A95" s="9"/>
      <c r="B95" s="9" t="str">
        <f>"Annual years 2 to "&amp;Production!G17&amp;" seed production"</f>
        <v>Annual years 2 to 4 seed production</v>
      </c>
      <c r="D95" s="54">
        <v>10</v>
      </c>
      <c r="E95" s="42"/>
      <c r="F95" s="54">
        <v>0</v>
      </c>
      <c r="G95" s="55">
        <v>3</v>
      </c>
      <c r="I95" s="42"/>
      <c r="J95" s="55">
        <v>0</v>
      </c>
      <c r="K95" s="42"/>
      <c r="M95" s="302">
        <f>D95+F95+G95</f>
        <v>13</v>
      </c>
    </row>
    <row r="96" spans="1:13" ht="15.75">
      <c r="A96" s="10" t="s">
        <v>175</v>
      </c>
      <c r="B96" s="9"/>
      <c r="D96" s="335"/>
      <c r="E96" s="72"/>
      <c r="F96" s="335"/>
      <c r="G96" s="335"/>
      <c r="I96" s="72"/>
      <c r="J96" s="335"/>
      <c r="K96" s="72"/>
      <c r="M96" s="72"/>
    </row>
    <row r="97" spans="1:13" ht="15.75">
      <c r="A97" s="9"/>
      <c r="B97" s="72" t="str">
        <f>"Year 1 establishment - "&amp;'Seed, Fertilizer &amp; Chemicals'!C24&amp;" nurse crop"</f>
        <v>Year 1 establishment - Wheat nurse crop</v>
      </c>
      <c r="D97" s="54">
        <v>23</v>
      </c>
      <c r="E97" s="42"/>
      <c r="F97" s="54">
        <v>0</v>
      </c>
      <c r="G97" s="55">
        <v>0</v>
      </c>
      <c r="I97" s="42"/>
      <c r="J97" s="55">
        <v>0</v>
      </c>
      <c r="K97" s="72"/>
      <c r="M97" s="302">
        <f>D97+F97+G97</f>
        <v>23</v>
      </c>
    </row>
    <row r="98" spans="1:13" ht="15.75">
      <c r="A98" s="9"/>
      <c r="B98" s="9" t="str">
        <f>"Annual years 2 to "&amp;Production!I17&amp;" seed production"</f>
        <v>Annual years 2 to 5 seed production</v>
      </c>
      <c r="D98" s="54">
        <v>20</v>
      </c>
      <c r="E98" s="42"/>
      <c r="F98" s="54">
        <v>17</v>
      </c>
      <c r="G98" s="55">
        <v>14</v>
      </c>
      <c r="I98" s="42"/>
      <c r="J98" s="55">
        <v>0</v>
      </c>
      <c r="K98" s="42"/>
      <c r="M98" s="302">
        <f>D98+F98+G98</f>
        <v>51</v>
      </c>
    </row>
    <row r="99" spans="1:13" ht="15.75">
      <c r="A99" s="10" t="s">
        <v>132</v>
      </c>
      <c r="B99" s="9"/>
      <c r="D99" s="52"/>
      <c r="E99" s="72"/>
      <c r="F99" s="52"/>
      <c r="G99" s="258"/>
      <c r="I99" s="72"/>
      <c r="J99" s="335"/>
      <c r="K99" s="72"/>
      <c r="M99" s="11"/>
    </row>
    <row r="100" spans="1:13" ht="15.75">
      <c r="A100" s="9"/>
      <c r="B100" s="72" t="str">
        <f>"Year 1 establishment - "&amp;'Seed, Fertilizer &amp; Chemicals'!C27&amp;" nurse crop"</f>
        <v>Year 1 establishment - Wheat nurse crop</v>
      </c>
      <c r="D100" s="54">
        <v>27</v>
      </c>
      <c r="E100" s="42"/>
      <c r="F100" s="54">
        <v>0</v>
      </c>
      <c r="G100" s="55">
        <v>0</v>
      </c>
      <c r="I100" s="42"/>
      <c r="J100" s="55">
        <v>0</v>
      </c>
      <c r="K100" s="72"/>
      <c r="M100" s="302">
        <f>D100+F100+G100</f>
        <v>27</v>
      </c>
    </row>
    <row r="101" spans="1:13" ht="15.75">
      <c r="A101" s="9"/>
      <c r="B101" s="9" t="s">
        <v>234</v>
      </c>
      <c r="D101" s="54">
        <v>27</v>
      </c>
      <c r="E101" s="42"/>
      <c r="F101" s="54">
        <v>0</v>
      </c>
      <c r="G101" s="55">
        <v>0</v>
      </c>
      <c r="I101" s="42"/>
      <c r="J101" s="55">
        <v>0</v>
      </c>
      <c r="K101" s="72"/>
      <c r="M101" s="302">
        <f>D101+F101+G101</f>
        <v>27</v>
      </c>
    </row>
    <row r="102" spans="1:13" ht="15.75">
      <c r="A102" s="9"/>
      <c r="B102" s="9" t="str">
        <f>"Annual years 2 to "&amp;Production!K17&amp;" seed production"</f>
        <v>Annual years 2 to 4 seed production</v>
      </c>
      <c r="D102" s="54">
        <v>23</v>
      </c>
      <c r="E102" s="42"/>
      <c r="F102" s="54">
        <v>17</v>
      </c>
      <c r="G102" s="55">
        <v>3</v>
      </c>
      <c r="I102" s="42"/>
      <c r="J102" s="55">
        <v>0</v>
      </c>
      <c r="K102" s="72"/>
      <c r="M102" s="302">
        <f>D102+F102+G102</f>
        <v>43</v>
      </c>
    </row>
    <row r="103" spans="1:17" ht="15">
      <c r="A103" s="9"/>
      <c r="B103" s="349"/>
      <c r="C103" s="349"/>
      <c r="D103" s="349"/>
      <c r="E103" s="349"/>
      <c r="F103" s="349"/>
      <c r="G103" s="349"/>
      <c r="H103" s="349"/>
      <c r="I103" s="349"/>
      <c r="J103" s="349"/>
      <c r="K103" s="349"/>
      <c r="L103" s="349"/>
      <c r="M103" s="349"/>
      <c r="N103" s="349"/>
      <c r="O103" s="349"/>
      <c r="P103" s="9"/>
      <c r="Q103" s="9"/>
    </row>
    <row r="104" spans="1:17" ht="15">
      <c r="A104" s="9"/>
      <c r="B104" s="349"/>
      <c r="C104" s="349"/>
      <c r="D104" s="349"/>
      <c r="E104" s="349"/>
      <c r="F104" s="349"/>
      <c r="G104" s="349"/>
      <c r="H104" s="349"/>
      <c r="I104" s="349"/>
      <c r="J104" s="349"/>
      <c r="K104" s="349"/>
      <c r="L104" s="349"/>
      <c r="M104" s="349"/>
      <c r="N104" s="349"/>
      <c r="O104" s="349"/>
      <c r="P104" s="9"/>
      <c r="Q104" s="9"/>
    </row>
    <row r="105" spans="1:17" ht="15">
      <c r="A105" s="9"/>
      <c r="B105" s="45"/>
      <c r="C105" s="45"/>
      <c r="D105" s="45"/>
      <c r="E105" s="45"/>
      <c r="F105" s="45"/>
      <c r="G105" s="45"/>
      <c r="H105" s="45"/>
      <c r="I105" s="45"/>
      <c r="J105" s="45"/>
      <c r="K105" s="45"/>
      <c r="L105" s="45"/>
      <c r="M105" s="45"/>
      <c r="N105" s="45"/>
      <c r="O105" s="45"/>
      <c r="P105" s="9"/>
      <c r="Q105" s="9"/>
    </row>
    <row r="106" spans="1:17" ht="15">
      <c r="A106" s="9"/>
      <c r="B106" s="45"/>
      <c r="C106" s="45"/>
      <c r="D106" s="45"/>
      <c r="E106" s="45"/>
      <c r="F106" s="45"/>
      <c r="G106" s="45"/>
      <c r="H106" s="45"/>
      <c r="I106" s="45"/>
      <c r="J106" s="45"/>
      <c r="K106" s="45"/>
      <c r="L106" s="45"/>
      <c r="M106" s="45"/>
      <c r="N106" s="45"/>
      <c r="O106" s="45"/>
      <c r="P106" s="9"/>
      <c r="Q106" s="9"/>
    </row>
    <row r="107" spans="1:17" ht="15">
      <c r="A107" s="9"/>
      <c r="B107" s="45"/>
      <c r="C107" s="45"/>
      <c r="D107" s="45"/>
      <c r="E107" s="45"/>
      <c r="F107" s="45"/>
      <c r="G107" s="45"/>
      <c r="H107" s="45"/>
      <c r="I107" s="45"/>
      <c r="J107" s="45"/>
      <c r="K107" s="45"/>
      <c r="L107" s="45"/>
      <c r="M107" s="45"/>
      <c r="N107" s="45"/>
      <c r="O107" s="45"/>
      <c r="P107" s="9"/>
      <c r="Q107" s="9"/>
    </row>
    <row r="108" spans="1:17" ht="15">
      <c r="A108" s="9"/>
      <c r="B108" s="45"/>
      <c r="C108" s="45"/>
      <c r="D108" s="45"/>
      <c r="E108" s="45"/>
      <c r="F108" s="45"/>
      <c r="G108" s="45"/>
      <c r="H108" s="45"/>
      <c r="I108" s="45"/>
      <c r="J108" s="45"/>
      <c r="K108" s="45"/>
      <c r="L108" s="45"/>
      <c r="M108" s="45"/>
      <c r="N108" s="45"/>
      <c r="O108" s="301"/>
      <c r="P108" s="9"/>
      <c r="Q108" s="9"/>
    </row>
    <row r="109" spans="1:17" ht="15.75">
      <c r="A109" s="9"/>
      <c r="B109" s="9"/>
      <c r="C109" s="4"/>
      <c r="D109" s="18"/>
      <c r="E109" s="9"/>
      <c r="F109" s="4"/>
      <c r="G109" s="18"/>
      <c r="H109" s="9"/>
      <c r="I109" s="5"/>
      <c r="J109" s="18"/>
      <c r="K109" s="9"/>
      <c r="L109" s="4"/>
      <c r="M109" s="18"/>
      <c r="N109" s="9"/>
      <c r="O109" s="11"/>
      <c r="P109" s="9"/>
      <c r="Q109" s="9"/>
    </row>
    <row r="110" spans="1:17" ht="15.75">
      <c r="A110" s="9"/>
      <c r="B110" s="9"/>
      <c r="C110" s="4"/>
      <c r="D110" s="18"/>
      <c r="E110" s="9"/>
      <c r="F110" s="4"/>
      <c r="G110" s="18"/>
      <c r="H110" s="9"/>
      <c r="I110" s="5"/>
      <c r="J110" s="18"/>
      <c r="K110" s="9"/>
      <c r="L110" s="4"/>
      <c r="M110" s="18"/>
      <c r="N110" s="9"/>
      <c r="O110" s="11"/>
      <c r="P110" s="9"/>
      <c r="Q110" s="9"/>
    </row>
    <row r="111" spans="1:17" ht="15.75">
      <c r="A111" s="9"/>
      <c r="B111" s="9"/>
      <c r="C111" s="4"/>
      <c r="D111" s="18"/>
      <c r="E111" s="9"/>
      <c r="F111" s="4"/>
      <c r="G111" s="18"/>
      <c r="H111" s="9"/>
      <c r="I111" s="5"/>
      <c r="J111" s="18"/>
      <c r="K111" s="9"/>
      <c r="L111" s="4"/>
      <c r="M111" s="18"/>
      <c r="N111" s="9"/>
      <c r="O111" s="11"/>
      <c r="P111" s="9"/>
      <c r="Q111" s="9"/>
    </row>
    <row r="112" spans="1:17" ht="15.75">
      <c r="A112" s="9"/>
      <c r="B112" s="9"/>
      <c r="C112" s="4"/>
      <c r="D112" s="18"/>
      <c r="E112" s="9"/>
      <c r="F112" s="4"/>
      <c r="G112" s="18"/>
      <c r="H112" s="9"/>
      <c r="I112" s="5"/>
      <c r="J112" s="18"/>
      <c r="K112" s="9"/>
      <c r="L112" s="4"/>
      <c r="M112" s="18"/>
      <c r="N112" s="9"/>
      <c r="O112" s="11"/>
      <c r="P112" s="9"/>
      <c r="Q112" s="9"/>
    </row>
    <row r="113" spans="1:17" ht="15.75">
      <c r="A113" s="9"/>
      <c r="B113" s="10"/>
      <c r="C113" s="515"/>
      <c r="D113" s="515"/>
      <c r="E113" s="9"/>
      <c r="F113" s="515"/>
      <c r="G113" s="515"/>
      <c r="H113" s="9"/>
      <c r="I113" s="515"/>
      <c r="J113" s="515"/>
      <c r="K113" s="9"/>
      <c r="L113" s="515"/>
      <c r="M113" s="515"/>
      <c r="N113" s="9"/>
      <c r="O113" s="14"/>
      <c r="P113" s="9"/>
      <c r="Q113" s="9"/>
    </row>
    <row r="114" spans="1:17" ht="15.75">
      <c r="A114" s="9"/>
      <c r="B114" s="9"/>
      <c r="C114" s="15"/>
      <c r="D114" s="15"/>
      <c r="E114" s="15"/>
      <c r="F114" s="15"/>
      <c r="G114" s="15"/>
      <c r="H114" s="15"/>
      <c r="I114" s="15"/>
      <c r="J114" s="15"/>
      <c r="K114" s="15"/>
      <c r="L114" s="15"/>
      <c r="M114" s="15"/>
      <c r="N114" s="16"/>
      <c r="O114" s="17"/>
      <c r="P114" s="9"/>
      <c r="Q114" s="9"/>
    </row>
    <row r="115" spans="1:17" ht="15.75">
      <c r="A115" s="9"/>
      <c r="B115" s="9"/>
      <c r="C115" s="9"/>
      <c r="D115" s="18"/>
      <c r="E115" s="9"/>
      <c r="F115" s="9"/>
      <c r="G115" s="18"/>
      <c r="H115" s="9"/>
      <c r="I115" s="9"/>
      <c r="J115" s="18"/>
      <c r="K115" s="9"/>
      <c r="L115" s="9"/>
      <c r="M115" s="18"/>
      <c r="N115" s="9"/>
      <c r="O115" s="19"/>
      <c r="P115" s="9"/>
      <c r="Q115" s="9"/>
    </row>
    <row r="116" spans="1:17" ht="15.75">
      <c r="A116" s="9"/>
      <c r="B116" s="9"/>
      <c r="C116" s="9"/>
      <c r="D116" s="18"/>
      <c r="E116" s="9"/>
      <c r="F116" s="9"/>
      <c r="G116" s="18"/>
      <c r="H116" s="9"/>
      <c r="I116" s="9"/>
      <c r="J116" s="18"/>
      <c r="K116" s="9"/>
      <c r="L116" s="9"/>
      <c r="M116" s="18"/>
      <c r="N116" s="9"/>
      <c r="O116" s="19"/>
      <c r="P116" s="9"/>
      <c r="Q116" s="9"/>
    </row>
    <row r="117" spans="1:17" ht="15.75">
      <c r="A117" s="9"/>
      <c r="B117" s="9"/>
      <c r="C117" s="9"/>
      <c r="D117" s="18"/>
      <c r="E117" s="9"/>
      <c r="F117" s="9"/>
      <c r="G117" s="18"/>
      <c r="H117" s="9"/>
      <c r="I117" s="9"/>
      <c r="J117" s="18"/>
      <c r="K117" s="9"/>
      <c r="L117" s="9"/>
      <c r="M117" s="18"/>
      <c r="N117" s="9"/>
      <c r="O117" s="19"/>
      <c r="P117" s="9"/>
      <c r="Q117" s="9"/>
    </row>
    <row r="118" spans="1:17" ht="15.75">
      <c r="A118" s="9"/>
      <c r="B118" s="9"/>
      <c r="C118" s="9"/>
      <c r="D118" s="18"/>
      <c r="E118" s="9"/>
      <c r="F118" s="9"/>
      <c r="G118" s="18"/>
      <c r="H118" s="9"/>
      <c r="I118" s="9"/>
      <c r="J118" s="18"/>
      <c r="K118" s="9"/>
      <c r="L118" s="9"/>
      <c r="M118" s="18"/>
      <c r="N118" s="9"/>
      <c r="O118" s="19"/>
      <c r="P118" s="9"/>
      <c r="Q118" s="9"/>
    </row>
    <row r="119" spans="1:17" ht="15.75">
      <c r="A119" s="9"/>
      <c r="B119" s="9"/>
      <c r="C119" s="9"/>
      <c r="D119" s="18"/>
      <c r="E119" s="9"/>
      <c r="F119" s="9"/>
      <c r="G119" s="18"/>
      <c r="H119" s="9"/>
      <c r="I119" s="9"/>
      <c r="J119" s="18"/>
      <c r="K119" s="9"/>
      <c r="L119" s="9"/>
      <c r="M119" s="18"/>
      <c r="N119" s="9"/>
      <c r="O119" s="19"/>
      <c r="P119" s="9"/>
      <c r="Q119" s="9"/>
    </row>
    <row r="120" spans="1:17" ht="15.75">
      <c r="A120" s="9"/>
      <c r="B120" s="9"/>
      <c r="C120" s="9"/>
      <c r="D120" s="18"/>
      <c r="E120" s="9"/>
      <c r="F120" s="9"/>
      <c r="G120" s="18"/>
      <c r="H120" s="9"/>
      <c r="I120" s="9"/>
      <c r="J120" s="18"/>
      <c r="K120" s="9"/>
      <c r="L120" s="9"/>
      <c r="M120" s="18"/>
      <c r="N120" s="9"/>
      <c r="O120" s="19"/>
      <c r="P120" s="9"/>
      <c r="Q120" s="9"/>
    </row>
    <row r="121" spans="1:17" ht="15.75">
      <c r="A121" s="9"/>
      <c r="B121" s="9"/>
      <c r="C121" s="9"/>
      <c r="D121" s="18"/>
      <c r="E121" s="9"/>
      <c r="F121" s="9"/>
      <c r="G121" s="18"/>
      <c r="H121" s="9"/>
      <c r="I121" s="9"/>
      <c r="J121" s="18"/>
      <c r="K121" s="9"/>
      <c r="L121" s="9"/>
      <c r="M121" s="18"/>
      <c r="N121" s="9"/>
      <c r="O121" s="19"/>
      <c r="P121" s="9"/>
      <c r="Q121" s="9"/>
    </row>
    <row r="122" spans="1:17" ht="15.75">
      <c r="A122" s="9"/>
      <c r="B122" s="9"/>
      <c r="C122" s="9"/>
      <c r="D122" s="18"/>
      <c r="E122" s="9"/>
      <c r="F122" s="9"/>
      <c r="G122" s="18"/>
      <c r="H122" s="9"/>
      <c r="I122" s="9"/>
      <c r="J122" s="18"/>
      <c r="K122" s="9"/>
      <c r="L122" s="9"/>
      <c r="M122" s="18"/>
      <c r="N122" s="9"/>
      <c r="O122" s="19"/>
      <c r="P122" s="9"/>
      <c r="Q122" s="9"/>
    </row>
    <row r="123" spans="1:17" ht="15.75">
      <c r="A123" s="9"/>
      <c r="B123" s="9"/>
      <c r="C123" s="9"/>
      <c r="D123" s="18"/>
      <c r="E123" s="9"/>
      <c r="F123" s="9"/>
      <c r="G123" s="18"/>
      <c r="H123" s="9"/>
      <c r="I123" s="9"/>
      <c r="J123" s="18"/>
      <c r="K123" s="9"/>
      <c r="L123" s="9"/>
      <c r="M123" s="18"/>
      <c r="N123" s="9"/>
      <c r="O123" s="19"/>
      <c r="P123" s="9"/>
      <c r="Q123" s="9"/>
    </row>
    <row r="124" spans="1:17" ht="15.75">
      <c r="A124" s="9"/>
      <c r="B124" s="9"/>
      <c r="C124" s="9"/>
      <c r="D124" s="18"/>
      <c r="E124" s="9"/>
      <c r="F124" s="9"/>
      <c r="G124" s="18"/>
      <c r="H124" s="9"/>
      <c r="I124" s="9"/>
      <c r="J124" s="18"/>
      <c r="K124" s="9"/>
      <c r="L124" s="9"/>
      <c r="M124" s="18"/>
      <c r="N124" s="9"/>
      <c r="O124" s="19"/>
      <c r="P124" s="9"/>
      <c r="Q124" s="9"/>
    </row>
    <row r="125" spans="1:17" ht="15.75">
      <c r="A125" s="9"/>
      <c r="B125" s="9"/>
      <c r="C125" s="9"/>
      <c r="D125" s="18"/>
      <c r="E125" s="9"/>
      <c r="F125" s="9"/>
      <c r="G125" s="18"/>
      <c r="H125" s="9"/>
      <c r="I125" s="9"/>
      <c r="J125" s="18"/>
      <c r="K125" s="9"/>
      <c r="L125" s="9"/>
      <c r="M125" s="18"/>
      <c r="N125" s="9"/>
      <c r="O125" s="19"/>
      <c r="P125" s="9"/>
      <c r="Q125" s="9"/>
    </row>
    <row r="126" spans="1:17" ht="15.75">
      <c r="A126" s="9"/>
      <c r="B126" s="9"/>
      <c r="C126" s="9"/>
      <c r="D126" s="18"/>
      <c r="E126" s="9"/>
      <c r="F126" s="9"/>
      <c r="G126" s="18"/>
      <c r="H126" s="9"/>
      <c r="I126" s="9"/>
      <c r="J126" s="18"/>
      <c r="K126" s="9"/>
      <c r="L126" s="9"/>
      <c r="M126" s="18"/>
      <c r="N126" s="9"/>
      <c r="O126" s="19"/>
      <c r="P126" s="9"/>
      <c r="Q126" s="9"/>
    </row>
    <row r="127" spans="1:17" ht="15">
      <c r="A127" s="9"/>
      <c r="B127" s="9"/>
      <c r="C127" s="9"/>
      <c r="D127" s="9"/>
      <c r="E127" s="9"/>
      <c r="F127" s="9"/>
      <c r="G127" s="9"/>
      <c r="H127" s="9"/>
      <c r="I127" s="9"/>
      <c r="J127" s="9"/>
      <c r="K127" s="9"/>
      <c r="L127" s="9"/>
      <c r="M127" s="9"/>
      <c r="N127" s="9"/>
      <c r="O127" s="9"/>
      <c r="P127" s="9"/>
      <c r="Q127" s="9"/>
    </row>
    <row r="128" spans="1:17" ht="15">
      <c r="A128" s="9"/>
      <c r="C128" s="9"/>
      <c r="D128" s="9"/>
      <c r="E128" s="9"/>
      <c r="F128" s="9"/>
      <c r="G128" s="9"/>
      <c r="H128" s="20"/>
      <c r="I128" s="20"/>
      <c r="J128" s="9"/>
      <c r="K128" s="9"/>
      <c r="L128" s="9"/>
      <c r="M128" s="9"/>
      <c r="N128" s="9"/>
      <c r="O128" s="9"/>
      <c r="P128" s="9"/>
      <c r="Q128" s="9"/>
    </row>
    <row r="129" spans="1:17" ht="15">
      <c r="A129" s="9"/>
      <c r="C129" s="9"/>
      <c r="D129" s="9"/>
      <c r="E129" s="9"/>
      <c r="F129" s="9"/>
      <c r="G129" s="9"/>
      <c r="H129" s="20"/>
      <c r="I129" s="20"/>
      <c r="J129" s="9"/>
      <c r="K129" s="9"/>
      <c r="L129" s="9"/>
      <c r="M129" s="9"/>
      <c r="N129" s="9"/>
      <c r="O129" s="9"/>
      <c r="P129" s="9"/>
      <c r="Q129" s="9"/>
    </row>
    <row r="130" spans="1:17" ht="15">
      <c r="A130" s="9"/>
      <c r="C130" s="9"/>
      <c r="D130" s="9"/>
      <c r="E130" s="9"/>
      <c r="F130" s="9"/>
      <c r="G130" s="9"/>
      <c r="H130" s="20"/>
      <c r="I130" s="20"/>
      <c r="J130" s="9"/>
      <c r="K130" s="9"/>
      <c r="L130" s="9"/>
      <c r="M130" s="9"/>
      <c r="N130" s="9"/>
      <c r="O130" s="9"/>
      <c r="P130" s="9"/>
      <c r="Q130" s="9"/>
    </row>
    <row r="131" spans="1:17" ht="15">
      <c r="A131" s="9"/>
      <c r="B131" s="9"/>
      <c r="C131" s="9"/>
      <c r="D131" s="9"/>
      <c r="E131" s="9"/>
      <c r="F131" s="9"/>
      <c r="G131" s="9"/>
      <c r="H131" s="9"/>
      <c r="I131" s="9"/>
      <c r="J131" s="9"/>
      <c r="K131" s="9"/>
      <c r="L131" s="9"/>
      <c r="M131" s="9"/>
      <c r="N131" s="9"/>
      <c r="O131" s="9"/>
      <c r="P131" s="9"/>
      <c r="Q131" s="9"/>
    </row>
  </sheetData>
  <sheetProtection password="C6A6" sheet="1"/>
  <mergeCells count="13">
    <mergeCell ref="C113:D113"/>
    <mergeCell ref="F113:G113"/>
    <mergeCell ref="I113:J113"/>
    <mergeCell ref="L113:M113"/>
    <mergeCell ref="C38:M38"/>
    <mergeCell ref="A29:O29"/>
    <mergeCell ref="C39:D39"/>
    <mergeCell ref="F39:G39"/>
    <mergeCell ref="I39:J39"/>
    <mergeCell ref="L39:M39"/>
    <mergeCell ref="A1:O1"/>
    <mergeCell ref="A68:O69"/>
    <mergeCell ref="A71:O71"/>
  </mergeCells>
  <printOptions/>
  <pageMargins left="0.7480314960629921" right="0.7480314960629921" top="0.984251968503937" bottom="0.984251968503937" header="0.5118110236220472" footer="0.5118110236220472"/>
  <pageSetup firstPageNumber="6" useFirstPageNumber="1" fitToHeight="2" horizontalDpi="300" verticalDpi="300" orientation="portrait" scale="61" r:id="rId3"/>
  <headerFooter scaleWithDoc="0" alignWithMargins="0">
    <oddHeader>&amp;L&amp;8Guidelines: Forage Seed Production Costs&amp;R&amp;8&amp;P</oddHeader>
    <oddFooter>&amp;R&amp;9Manitoba Agriculture, Food and Rural Development</oddFooter>
  </headerFooter>
  <rowBreaks count="1" manualBreakCount="1">
    <brk id="69" max="14" man="1"/>
  </rowBreaks>
  <legacyDrawing r:id="rId2"/>
</worksheet>
</file>

<file path=xl/worksheets/sheet6.xml><?xml version="1.0" encoding="utf-8"?>
<worksheet xmlns="http://schemas.openxmlformats.org/spreadsheetml/2006/main" xmlns:r="http://schemas.openxmlformats.org/officeDocument/2006/relationships">
  <sheetPr codeName="Sheet9">
    <pageSetUpPr fitToPage="1"/>
  </sheetPr>
  <dimension ref="A1:AB72"/>
  <sheetViews>
    <sheetView zoomScale="90" zoomScaleNormal="90" workbookViewId="0" topLeftCell="A1">
      <selection activeCell="A1" sqref="A1:N1"/>
    </sheetView>
  </sheetViews>
  <sheetFormatPr defaultColWidth="10.28125" defaultRowHeight="12.75"/>
  <cols>
    <col min="1" max="1" width="3.7109375" style="9" customWidth="1"/>
    <col min="2" max="3" width="18.7109375" style="9" customWidth="1"/>
    <col min="4" max="4" width="10.28125" style="9" customWidth="1"/>
    <col min="5" max="5" width="10.7109375" style="9" customWidth="1"/>
    <col min="6" max="6" width="12.7109375" style="9" customWidth="1"/>
    <col min="7" max="9" width="10.7109375" style="9" customWidth="1"/>
    <col min="10" max="10" width="11.8515625" style="253" customWidth="1"/>
    <col min="11" max="11" width="9.7109375" style="9" customWidth="1"/>
    <col min="12" max="12" width="11.7109375" style="9" customWidth="1"/>
    <col min="13" max="28" width="10.28125" style="9" customWidth="1"/>
    <col min="29" max="16384" width="10.28125" style="1" customWidth="1"/>
  </cols>
  <sheetData>
    <row r="1" spans="1:14" ht="24" customHeight="1">
      <c r="A1" s="519" t="s">
        <v>41</v>
      </c>
      <c r="B1" s="519"/>
      <c r="C1" s="519"/>
      <c r="D1" s="519"/>
      <c r="E1" s="519"/>
      <c r="F1" s="519"/>
      <c r="G1" s="519"/>
      <c r="H1" s="519"/>
      <c r="I1" s="519"/>
      <c r="J1" s="519"/>
      <c r="K1" s="519"/>
      <c r="L1" s="519"/>
      <c r="M1" s="519"/>
      <c r="N1" s="519"/>
    </row>
    <row r="2" spans="1:14" ht="6.75" customHeight="1">
      <c r="A2" s="152"/>
      <c r="B2" s="12"/>
      <c r="C2" s="12"/>
      <c r="D2" s="12"/>
      <c r="E2" s="12"/>
      <c r="F2" s="12"/>
      <c r="G2" s="12"/>
      <c r="H2" s="12"/>
      <c r="I2" s="12"/>
      <c r="N2" s="115"/>
    </row>
    <row r="3" spans="1:21" s="9" customFormat="1" ht="15" customHeight="1">
      <c r="A3" s="152"/>
      <c r="B3" s="22" t="s">
        <v>50</v>
      </c>
      <c r="C3" s="22"/>
      <c r="D3" s="12"/>
      <c r="E3" s="56">
        <v>0.055</v>
      </c>
      <c r="F3" s="12"/>
      <c r="G3" s="16" t="s">
        <v>251</v>
      </c>
      <c r="N3" s="115"/>
      <c r="R3" s="14" t="s">
        <v>99</v>
      </c>
      <c r="S3" s="14" t="s">
        <v>100</v>
      </c>
      <c r="T3" s="14" t="s">
        <v>95</v>
      </c>
      <c r="U3" s="14" t="s">
        <v>96</v>
      </c>
    </row>
    <row r="4" spans="2:21" s="9" customFormat="1" ht="15.75" customHeight="1">
      <c r="B4" s="9" t="s">
        <v>252</v>
      </c>
      <c r="E4" s="245">
        <v>12</v>
      </c>
      <c r="G4" s="350" t="s">
        <v>253</v>
      </c>
      <c r="I4" s="351">
        <v>6</v>
      </c>
      <c r="J4" s="1" t="s">
        <v>178</v>
      </c>
      <c r="K4" s="1"/>
      <c r="R4" s="17" t="s">
        <v>98</v>
      </c>
      <c r="S4" s="17" t="s">
        <v>101</v>
      </c>
      <c r="T4" s="17" t="s">
        <v>97</v>
      </c>
      <c r="U4" s="17" t="s">
        <v>45</v>
      </c>
    </row>
    <row r="5" spans="2:21" s="9" customFormat="1" ht="15.75">
      <c r="B5" s="9" t="s">
        <v>254</v>
      </c>
      <c r="E5" s="52">
        <v>20</v>
      </c>
      <c r="G5" s="350" t="s">
        <v>255</v>
      </c>
      <c r="I5" s="351">
        <v>50</v>
      </c>
      <c r="J5" s="1" t="s">
        <v>178</v>
      </c>
      <c r="K5" s="1"/>
      <c r="N5" s="115"/>
      <c r="R5" s="147">
        <v>2</v>
      </c>
      <c r="S5" s="147">
        <v>2</v>
      </c>
      <c r="T5" s="263">
        <v>420</v>
      </c>
      <c r="U5" s="23">
        <f>SUM(R5*S5*4*40)/T5</f>
        <v>1.5238095238095237</v>
      </c>
    </row>
    <row r="6" spans="2:21" s="9" customFormat="1" ht="15.75" customHeight="1">
      <c r="B6" s="22" t="s">
        <v>258</v>
      </c>
      <c r="C6" s="22"/>
      <c r="D6" s="12"/>
      <c r="E6" s="245">
        <v>10</v>
      </c>
      <c r="G6" s="350" t="s">
        <v>256</v>
      </c>
      <c r="I6" s="351">
        <v>5</v>
      </c>
      <c r="J6" s="1" t="s">
        <v>257</v>
      </c>
      <c r="K6" s="1"/>
      <c r="R6" s="147">
        <v>0</v>
      </c>
      <c r="S6" s="147">
        <v>0</v>
      </c>
      <c r="T6" s="259">
        <f>T5</f>
        <v>420</v>
      </c>
      <c r="U6" s="23">
        <f>SUM(R6*S6*4*40)/T6</f>
        <v>0</v>
      </c>
    </row>
    <row r="7" spans="2:21" s="9" customFormat="1" ht="18">
      <c r="B7" s="22" t="s">
        <v>261</v>
      </c>
      <c r="C7" s="22"/>
      <c r="D7" s="12"/>
      <c r="E7" s="245">
        <v>7.75</v>
      </c>
      <c r="G7" s="350" t="s">
        <v>259</v>
      </c>
      <c r="I7" s="351">
        <v>375</v>
      </c>
      <c r="J7" s="1" t="s">
        <v>260</v>
      </c>
      <c r="N7" s="115"/>
      <c r="R7" s="147">
        <v>0</v>
      </c>
      <c r="S7" s="147">
        <v>0</v>
      </c>
      <c r="T7" s="259">
        <f>T5</f>
        <v>420</v>
      </c>
      <c r="U7" s="23">
        <f>SUM(R7*S7*4*40)/T7</f>
        <v>0</v>
      </c>
    </row>
    <row r="8" spans="2:21" s="9" customFormat="1" ht="15.75" customHeight="1">
      <c r="B8" s="9" t="s">
        <v>262</v>
      </c>
      <c r="E8" s="353">
        <v>0.85</v>
      </c>
      <c r="J8" s="253"/>
      <c r="N8" s="115"/>
      <c r="R8" s="147">
        <v>0</v>
      </c>
      <c r="S8" s="147">
        <v>0</v>
      </c>
      <c r="T8" s="260">
        <f>T5</f>
        <v>420</v>
      </c>
      <c r="U8" s="261">
        <f>SUM(R8*S8*4*40)/T8</f>
        <v>0</v>
      </c>
    </row>
    <row r="9" spans="5:15" s="9" customFormat="1" ht="16.5" thickBot="1">
      <c r="E9" s="520" t="s">
        <v>263</v>
      </c>
      <c r="F9" s="520"/>
      <c r="G9" s="520"/>
      <c r="H9" s="520"/>
      <c r="I9" s="520"/>
      <c r="J9" s="520"/>
      <c r="K9" s="520"/>
      <c r="L9" s="520"/>
      <c r="M9" s="520"/>
      <c r="N9" s="520"/>
      <c r="O9" s="115"/>
    </row>
    <row r="10" spans="4:16" s="9" customFormat="1" ht="16.5" thickBot="1">
      <c r="D10" s="262" t="s">
        <v>56</v>
      </c>
      <c r="E10" s="354"/>
      <c r="F10" s="355" t="s">
        <v>3</v>
      </c>
      <c r="G10" s="355" t="s">
        <v>19</v>
      </c>
      <c r="H10" s="14" t="s">
        <v>55</v>
      </c>
      <c r="I10" s="521" t="s">
        <v>264</v>
      </c>
      <c r="J10" s="521"/>
      <c r="K10" s="521"/>
      <c r="L10" s="521"/>
      <c r="M10" s="521"/>
      <c r="N10" s="521"/>
      <c r="P10" s="115"/>
    </row>
    <row r="11" spans="1:16" s="9" customFormat="1" ht="15.75">
      <c r="A11" s="21" t="s">
        <v>3</v>
      </c>
      <c r="D11" s="356" t="s">
        <v>265</v>
      </c>
      <c r="E11" s="357" t="s">
        <v>20</v>
      </c>
      <c r="F11" s="357" t="s">
        <v>21</v>
      </c>
      <c r="G11" s="357" t="s">
        <v>22</v>
      </c>
      <c r="H11" s="17" t="s">
        <v>12</v>
      </c>
      <c r="I11" s="429" t="s">
        <v>266</v>
      </c>
      <c r="J11" s="430" t="s">
        <v>267</v>
      </c>
      <c r="K11" s="430" t="s">
        <v>187</v>
      </c>
      <c r="L11" s="430" t="s">
        <v>186</v>
      </c>
      <c r="M11" s="430" t="s">
        <v>268</v>
      </c>
      <c r="N11" s="358" t="s">
        <v>15</v>
      </c>
      <c r="P11" s="115"/>
    </row>
    <row r="12" spans="1:28" ht="15.75">
      <c r="A12" s="10" t="s">
        <v>164</v>
      </c>
      <c r="C12" s="1"/>
      <c r="D12" s="406"/>
      <c r="E12" s="32"/>
      <c r="F12" s="254"/>
      <c r="G12" s="407"/>
      <c r="H12" s="53"/>
      <c r="I12" s="407"/>
      <c r="J12" s="407"/>
      <c r="K12" s="407"/>
      <c r="L12" s="407"/>
      <c r="M12" s="407"/>
      <c r="N12" s="18"/>
      <c r="O12" s="1"/>
      <c r="P12" s="1"/>
      <c r="Q12" s="1"/>
      <c r="R12" s="1"/>
      <c r="S12" s="1"/>
      <c r="T12" s="1"/>
      <c r="U12" s="1"/>
      <c r="V12" s="1"/>
      <c r="W12" s="1"/>
      <c r="X12" s="1"/>
      <c r="Y12" s="1"/>
      <c r="Z12" s="1"/>
      <c r="AA12" s="1"/>
      <c r="AB12" s="1"/>
    </row>
    <row r="13" spans="2:28" ht="15.75">
      <c r="B13" s="404" t="str">
        <f>"Year 1 establishment - "&amp;'Seed, Fertilizer &amp; Chemicals'!C7&amp;" nurse crop"</f>
        <v>Year 1 establishment - Wheat nurse crop</v>
      </c>
      <c r="C13" s="1"/>
      <c r="D13" s="439">
        <v>1.5</v>
      </c>
      <c r="E13" s="440">
        <f>SUM($E$8*D48)</f>
        <v>19.801864746666666</v>
      </c>
      <c r="F13" s="52">
        <v>11.19</v>
      </c>
      <c r="G13" s="360" t="s">
        <v>269</v>
      </c>
      <c r="H13" s="53">
        <f>(((((('Fixed Cost Input'!$D$9*Summary!C$47)-('Fixed Cost Input'!$D$9*Summary!C$47*('Fixed Cost Input'!$D$5)))/20)+((('Fixed Cost Input'!$D$9*Summary!C$47)+('Fixed Cost Input'!$D$9*Summary!C$47*('Fixed Cost Input'!$D$5)))/2)*('Fixed Cost Input'!$D$6)))*'Fixed Cost Input'!$C$9)+(((((('Fixed Cost Input'!$D$10*Summary!C$47)-('Fixed Cost Input'!$D$10*Summary!C$47*('Fixed Cost Input'!$D$5)))/20)+((('Fixed Cost Input'!$D$10*Summary!C$47)+('Fixed Cost Input'!$D$10*Summary!C$47*('Fixed Cost Input'!$D$5)))/2)*('Fixed Cost Input'!$D$6)))*'Fixed Cost Input'!$C$10)</f>
        <v>4.594250000000001</v>
      </c>
      <c r="I13" s="360" t="s">
        <v>269</v>
      </c>
      <c r="J13" s="360" t="s">
        <v>269</v>
      </c>
      <c r="K13" s="360" t="s">
        <v>269</v>
      </c>
      <c r="L13" s="360" t="s">
        <v>269</v>
      </c>
      <c r="M13" s="360" t="s">
        <v>269</v>
      </c>
      <c r="N13" s="92">
        <f aca="true" t="shared" si="0" ref="N13:N27">SUM(I13:M13)</f>
        <v>0</v>
      </c>
      <c r="O13" s="1"/>
      <c r="P13" s="1"/>
      <c r="Q13" s="1"/>
      <c r="R13" s="1"/>
      <c r="S13" s="1"/>
      <c r="T13" s="1"/>
      <c r="U13" s="1"/>
      <c r="V13" s="1"/>
      <c r="W13" s="1"/>
      <c r="X13" s="1"/>
      <c r="Y13" s="1"/>
      <c r="Z13" s="1"/>
      <c r="AA13" s="1"/>
      <c r="AB13" s="1"/>
    </row>
    <row r="14" spans="2:28" ht="15.75">
      <c r="B14" s="20" t="s">
        <v>234</v>
      </c>
      <c r="C14" s="1"/>
      <c r="D14" s="439">
        <v>1.5</v>
      </c>
      <c r="E14" s="440">
        <f>SUM($E$8*D49)</f>
        <v>8.738</v>
      </c>
      <c r="F14" s="52">
        <v>5.8</v>
      </c>
      <c r="G14" s="360" t="s">
        <v>269</v>
      </c>
      <c r="H14" s="53"/>
      <c r="I14" s="360" t="s">
        <v>269</v>
      </c>
      <c r="J14" s="360" t="s">
        <v>269</v>
      </c>
      <c r="K14" s="360" t="s">
        <v>269</v>
      </c>
      <c r="L14" s="360" t="s">
        <v>269</v>
      </c>
      <c r="M14" s="360" t="s">
        <v>269</v>
      </c>
      <c r="N14" s="92">
        <f t="shared" si="0"/>
        <v>0</v>
      </c>
      <c r="O14" s="1"/>
      <c r="P14" s="1"/>
      <c r="Q14" s="1"/>
      <c r="R14" s="1"/>
      <c r="S14" s="1"/>
      <c r="T14" s="1"/>
      <c r="U14" s="1"/>
      <c r="V14" s="1"/>
      <c r="W14" s="1"/>
      <c r="X14" s="1"/>
      <c r="Y14" s="1"/>
      <c r="Z14" s="1"/>
      <c r="AA14" s="1"/>
      <c r="AB14" s="1"/>
    </row>
    <row r="15" spans="2:28" ht="15.75">
      <c r="B15" s="20" t="str">
        <f>"Annual years 2 to "&amp;Production!D17&amp;" seed production"</f>
        <v>Annual years 2 to 5 seed production</v>
      </c>
      <c r="C15" s="1"/>
      <c r="D15" s="439">
        <v>1.5</v>
      </c>
      <c r="E15" s="440">
        <f>SUM($E$8*D50)</f>
        <v>9.770008195555555</v>
      </c>
      <c r="F15" s="52">
        <v>45.93</v>
      </c>
      <c r="G15" s="360" t="s">
        <v>269</v>
      </c>
      <c r="H15" s="53">
        <f>(((((('Fixed Cost Input'!$D$9*Production!D$22)-('Fixed Cost Input'!$D$9*Production!D$22*('Fixed Cost Input'!$D$5)))/20)+((('Fixed Cost Input'!$D$9*Production!D$22)+('Fixed Cost Input'!$D$9*Production!D$22*('Fixed Cost Input'!$D$5)))/2)*('Fixed Cost Input'!$D$6)))*'Fixed Cost Input'!$C$9)+(((((('Fixed Cost Input'!$D$10*Production!D$22)-('Fixed Cost Input'!$D$10*Production!D$22*('Fixed Cost Input'!$D$5)))/20)+((('Fixed Cost Input'!$D$10*Production!D$22)+('Fixed Cost Input'!$D$10*Production!D$22*('Fixed Cost Input'!$D$5)))/2)*('Fixed Cost Input'!$D$6)))*'Fixed Cost Input'!$C$10)</f>
        <v>0.7206666666666667</v>
      </c>
      <c r="I15" s="360" t="s">
        <v>269</v>
      </c>
      <c r="J15" s="360" t="s">
        <v>269</v>
      </c>
      <c r="K15" s="360">
        <v>7.5</v>
      </c>
      <c r="L15" s="360">
        <v>150</v>
      </c>
      <c r="M15" s="360" t="s">
        <v>269</v>
      </c>
      <c r="N15" s="92">
        <f t="shared" si="0"/>
        <v>157.5</v>
      </c>
      <c r="O15" s="1"/>
      <c r="P15" s="1"/>
      <c r="Q15" s="1"/>
      <c r="R15" s="1"/>
      <c r="S15" s="1"/>
      <c r="T15" s="1"/>
      <c r="U15" s="1"/>
      <c r="V15" s="1"/>
      <c r="W15" s="1"/>
      <c r="X15" s="1"/>
      <c r="Y15" s="1"/>
      <c r="Z15" s="1"/>
      <c r="AA15" s="1"/>
      <c r="AB15" s="1"/>
    </row>
    <row r="16" spans="1:28" ht="15.75">
      <c r="A16" s="10" t="s">
        <v>166</v>
      </c>
      <c r="C16" s="1"/>
      <c r="D16" s="441"/>
      <c r="E16" s="86"/>
      <c r="F16" s="254"/>
      <c r="G16" s="407"/>
      <c r="H16" s="53"/>
      <c r="I16" s="407"/>
      <c r="J16" s="407"/>
      <c r="K16" s="407"/>
      <c r="L16" s="407"/>
      <c r="M16" s="407"/>
      <c r="N16" s="18"/>
      <c r="O16" s="1"/>
      <c r="P16" s="1"/>
      <c r="Q16" s="1"/>
      <c r="R16" s="1"/>
      <c r="S16" s="1"/>
      <c r="T16" s="1"/>
      <c r="U16" s="1"/>
      <c r="V16" s="1"/>
      <c r="W16" s="1"/>
      <c r="X16" s="1"/>
      <c r="Y16" s="1"/>
      <c r="Z16" s="1"/>
      <c r="AA16" s="1"/>
      <c r="AB16" s="1"/>
    </row>
    <row r="17" spans="2:28" ht="15.75">
      <c r="B17" s="404" t="str">
        <f>"Year 1 establishment - "&amp;'Seed, Fertilizer &amp; Chemicals'!C10&amp;" nurse crop"</f>
        <v>Year 1 establishment - Wheat nurse crop</v>
      </c>
      <c r="C17" s="1"/>
      <c r="D17" s="439">
        <v>1.5</v>
      </c>
      <c r="E17" s="440">
        <f>SUM($E$8*D52)</f>
        <v>19.801864746666666</v>
      </c>
      <c r="F17" s="52">
        <v>11.19</v>
      </c>
      <c r="G17" s="360" t="s">
        <v>269</v>
      </c>
      <c r="H17" s="53">
        <f>(((((('Fixed Cost Input'!$D$9*Summary!F$47)-('Fixed Cost Input'!$D$9*Summary!F$47*('Fixed Cost Input'!$D$5)))/20)+((('Fixed Cost Input'!$D$9*Summary!F$47)+('Fixed Cost Input'!$D$9*Summary!F$47*('Fixed Cost Input'!$D$5)))/2)*('Fixed Cost Input'!$D$6)))*'Fixed Cost Input'!$C$9)+(((((('Fixed Cost Input'!$D$10*Summary!F$47)-('Fixed Cost Input'!$D$10*Summary!F$47*('Fixed Cost Input'!$D$5)))/20)+((('Fixed Cost Input'!$D$10*Summary!F$47)+('Fixed Cost Input'!$D$10*Summary!F$47*('Fixed Cost Input'!$D$5)))/2)*('Fixed Cost Input'!$D$6)))*'Fixed Cost Input'!$C$10)</f>
        <v>4.594250000000001</v>
      </c>
      <c r="I17" s="360" t="s">
        <v>269</v>
      </c>
      <c r="J17" s="360" t="s">
        <v>269</v>
      </c>
      <c r="K17" s="360" t="s">
        <v>269</v>
      </c>
      <c r="L17" s="360" t="s">
        <v>269</v>
      </c>
      <c r="M17" s="360" t="s">
        <v>269</v>
      </c>
      <c r="N17" s="92">
        <f t="shared" si="0"/>
        <v>0</v>
      </c>
      <c r="O17" s="1"/>
      <c r="P17" s="1"/>
      <c r="Q17" s="1"/>
      <c r="R17" s="1"/>
      <c r="S17" s="1"/>
      <c r="T17" s="1"/>
      <c r="U17" s="1"/>
      <c r="V17" s="1"/>
      <c r="W17" s="1"/>
      <c r="X17" s="1"/>
      <c r="Y17" s="1"/>
      <c r="Z17" s="1"/>
      <c r="AA17" s="1"/>
      <c r="AB17" s="1"/>
    </row>
    <row r="18" spans="2:28" ht="15.75">
      <c r="B18" s="20" t="s">
        <v>234</v>
      </c>
      <c r="C18" s="1"/>
      <c r="D18" s="439">
        <v>1.5</v>
      </c>
      <c r="E18" s="440">
        <f>SUM($E$8*D53)</f>
        <v>8.738</v>
      </c>
      <c r="F18" s="52">
        <v>5.8</v>
      </c>
      <c r="G18" s="360" t="s">
        <v>269</v>
      </c>
      <c r="H18" s="53"/>
      <c r="I18" s="360" t="s">
        <v>269</v>
      </c>
      <c r="J18" s="360" t="s">
        <v>269</v>
      </c>
      <c r="K18" s="360" t="s">
        <v>269</v>
      </c>
      <c r="L18" s="360" t="s">
        <v>269</v>
      </c>
      <c r="M18" s="360" t="s">
        <v>269</v>
      </c>
      <c r="N18" s="92">
        <f t="shared" si="0"/>
        <v>0</v>
      </c>
      <c r="O18" s="1"/>
      <c r="P18" s="1"/>
      <c r="Q18" s="1"/>
      <c r="R18" s="1"/>
      <c r="S18" s="1"/>
      <c r="T18" s="1"/>
      <c r="U18" s="1"/>
      <c r="V18" s="1"/>
      <c r="W18" s="1"/>
      <c r="X18" s="1"/>
      <c r="Y18" s="1"/>
      <c r="Z18" s="1"/>
      <c r="AA18" s="1"/>
      <c r="AB18" s="1"/>
    </row>
    <row r="19" spans="2:28" ht="15.75">
      <c r="B19" s="20" t="str">
        <f>"Annual years 2 to "&amp;Production!E17&amp;" seed production"</f>
        <v>Annual years 2 to 5 seed production</v>
      </c>
      <c r="C19" s="1"/>
      <c r="D19" s="439">
        <v>1.5</v>
      </c>
      <c r="E19" s="440">
        <f>SUM($E$8*D54)</f>
        <v>9.338116118518517</v>
      </c>
      <c r="F19" s="52">
        <v>14.34</v>
      </c>
      <c r="G19" s="360" t="s">
        <v>269</v>
      </c>
      <c r="H19" s="53">
        <f>(((((('Fixed Cost Input'!$D$9*Production!E$22)-('Fixed Cost Input'!$D$9*Production!E$22*('Fixed Cost Input'!$D$5)))/20)+((('Fixed Cost Input'!$D$9*Production!E$22)+('Fixed Cost Input'!$D$9*Production!E$22*('Fixed Cost Input'!$D$5)))/2)*('Fixed Cost Input'!$D$6)))*'Fixed Cost Input'!$C$9)+(((((('Fixed Cost Input'!$D$10*Production!E$22)-('Fixed Cost Input'!$D$10*Production!E$22*('Fixed Cost Input'!$D$5)))/20)+((('Fixed Cost Input'!$D$10*Production!E$22)+('Fixed Cost Input'!$D$10*Production!E$22*('Fixed Cost Input'!$D$5)))/2)*('Fixed Cost Input'!$D$6)))*'Fixed Cost Input'!$C$10)</f>
        <v>1.0509722222222222</v>
      </c>
      <c r="I19" s="360" t="s">
        <v>269</v>
      </c>
      <c r="J19" s="360" t="s">
        <v>269</v>
      </c>
      <c r="K19" s="360">
        <v>7.5</v>
      </c>
      <c r="L19" s="360" t="s">
        <v>269</v>
      </c>
      <c r="M19" s="360" t="s">
        <v>269</v>
      </c>
      <c r="N19" s="92">
        <f t="shared" si="0"/>
        <v>7.5</v>
      </c>
      <c r="O19" s="1"/>
      <c r="P19" s="1"/>
      <c r="Q19" s="1"/>
      <c r="R19" s="1"/>
      <c r="S19" s="1"/>
      <c r="T19" s="1"/>
      <c r="U19" s="1"/>
      <c r="V19" s="1"/>
      <c r="W19" s="1"/>
      <c r="X19" s="1"/>
      <c r="Y19" s="1"/>
      <c r="Z19" s="1"/>
      <c r="AA19" s="1"/>
      <c r="AB19" s="1"/>
    </row>
    <row r="20" spans="1:28" ht="15.75">
      <c r="A20" s="10" t="s">
        <v>168</v>
      </c>
      <c r="C20" s="1"/>
      <c r="D20" s="441"/>
      <c r="E20" s="86"/>
      <c r="F20" s="254"/>
      <c r="G20" s="407"/>
      <c r="H20" s="53"/>
      <c r="I20" s="407"/>
      <c r="J20" s="407"/>
      <c r="K20" s="407"/>
      <c r="L20" s="407"/>
      <c r="M20" s="407"/>
      <c r="N20" s="18"/>
      <c r="O20" s="1"/>
      <c r="P20" s="1"/>
      <c r="Q20" s="1"/>
      <c r="R20" s="1"/>
      <c r="S20" s="1"/>
      <c r="T20" s="1"/>
      <c r="U20" s="1"/>
      <c r="V20" s="1"/>
      <c r="W20" s="1"/>
      <c r="X20" s="1"/>
      <c r="Y20" s="1"/>
      <c r="Z20" s="1"/>
      <c r="AA20" s="1"/>
      <c r="AB20" s="1"/>
    </row>
    <row r="21" spans="2:28" ht="15.75">
      <c r="B21" s="20" t="s">
        <v>235</v>
      </c>
      <c r="C21" s="1"/>
      <c r="D21" s="439">
        <v>1.5</v>
      </c>
      <c r="E21" s="440">
        <f>SUM($E$8*D56)</f>
        <v>18.338224888888888</v>
      </c>
      <c r="F21" s="52">
        <v>12.13</v>
      </c>
      <c r="G21" s="426">
        <v>5</v>
      </c>
      <c r="H21" s="53">
        <f>(((((('Fixed Cost Input'!$D$9*Production!H$22)-('Fixed Cost Input'!$D$9*Production!H$22*('Fixed Cost Input'!$D$5)))/20)+((('Fixed Cost Input'!$D$9*Production!H$22)+('Fixed Cost Input'!$D$9*Production!H$22*('Fixed Cost Input'!$D$5)))/2)*('Fixed Cost Input'!$D$6)))*'Fixed Cost Input'!$C$9)+(((((('Fixed Cost Input'!$D$10*Production!H$22)-('Fixed Cost Input'!$D$10*Production!H$22*('Fixed Cost Input'!$D$5)))/20)+((('Fixed Cost Input'!$D$10*Production!H$22)+('Fixed Cost Input'!$D$10*Production!H$22*('Fixed Cost Input'!$D$5)))/2)*('Fixed Cost Input'!$D$6)))*'Fixed Cost Input'!$C$10)</f>
        <v>5.3486979166666675</v>
      </c>
      <c r="I21" s="360" t="s">
        <v>269</v>
      </c>
      <c r="J21" s="360" t="s">
        <v>269</v>
      </c>
      <c r="K21" s="360">
        <v>7.5</v>
      </c>
      <c r="L21" s="360" t="s">
        <v>269</v>
      </c>
      <c r="M21" s="360" t="s">
        <v>269</v>
      </c>
      <c r="N21" s="92">
        <f t="shared" si="0"/>
        <v>7.5</v>
      </c>
      <c r="O21" s="1"/>
      <c r="P21" s="1"/>
      <c r="Q21" s="1"/>
      <c r="R21" s="1"/>
      <c r="S21" s="1"/>
      <c r="T21" s="1"/>
      <c r="U21" s="1"/>
      <c r="V21" s="1"/>
      <c r="W21" s="1"/>
      <c r="X21" s="1"/>
      <c r="Y21" s="1"/>
      <c r="Z21" s="1"/>
      <c r="AA21" s="1"/>
      <c r="AB21" s="1"/>
    </row>
    <row r="22" spans="1:28" ht="15.75">
      <c r="A22" s="10" t="s">
        <v>157</v>
      </c>
      <c r="C22" s="1"/>
      <c r="D22" s="441"/>
      <c r="E22" s="86"/>
      <c r="F22" s="254"/>
      <c r="G22" s="427"/>
      <c r="H22" s="53"/>
      <c r="I22" s="407"/>
      <c r="J22" s="407"/>
      <c r="K22" s="407"/>
      <c r="L22" s="407"/>
      <c r="M22" s="407"/>
      <c r="N22" s="18"/>
      <c r="O22" s="1"/>
      <c r="P22" s="1"/>
      <c r="Q22" s="1"/>
      <c r="R22" s="1"/>
      <c r="S22" s="1"/>
      <c r="T22" s="1"/>
      <c r="U22" s="1"/>
      <c r="V22" s="1"/>
      <c r="W22" s="1"/>
      <c r="X22" s="1"/>
      <c r="Y22" s="1"/>
      <c r="Z22" s="1"/>
      <c r="AA22" s="1"/>
      <c r="AB22" s="1"/>
    </row>
    <row r="23" spans="2:28" ht="15.75">
      <c r="B23" s="404" t="str">
        <f>"Year 1 establishment - "&amp;'Seed, Fertilizer &amp; Chemicals'!C15&amp;" nurse crop"</f>
        <v>Year 1 establishment - Wheat nurse crop</v>
      </c>
      <c r="C23" s="1"/>
      <c r="D23" s="439">
        <v>1.5</v>
      </c>
      <c r="E23" s="440">
        <f>SUM($E$8*D58)</f>
        <v>19.801864746666666</v>
      </c>
      <c r="F23" s="52">
        <v>11.19</v>
      </c>
      <c r="G23" s="360" t="s">
        <v>269</v>
      </c>
      <c r="H23" s="53">
        <f>(((((('Fixed Cost Input'!$D$9*Summary!J$47)-('Fixed Cost Input'!$D$9*Summary!J$47*('Fixed Cost Input'!$D$5)))/20)+((('Fixed Cost Input'!$D$9*Summary!J$47)+('Fixed Cost Input'!$D$9*Summary!J$47*('Fixed Cost Input'!$D$5)))/2)*('Fixed Cost Input'!$D$6)))*'Fixed Cost Input'!$C$9)+(((((('Fixed Cost Input'!$D$10*Summary!J$47)-('Fixed Cost Input'!$D$10*Summary!J$47*('Fixed Cost Input'!$D$5)))/20)+((('Fixed Cost Input'!$D$10*Summary!J$47)+('Fixed Cost Input'!$D$10*Summary!J$47*('Fixed Cost Input'!$D$5)))/2)*('Fixed Cost Input'!$D$6)))*'Fixed Cost Input'!$C$10)</f>
        <v>4.594250000000001</v>
      </c>
      <c r="I23" s="360" t="s">
        <v>269</v>
      </c>
      <c r="J23" s="360" t="s">
        <v>269</v>
      </c>
      <c r="K23" s="360" t="s">
        <v>269</v>
      </c>
      <c r="L23" s="360" t="s">
        <v>269</v>
      </c>
      <c r="M23" s="360" t="s">
        <v>269</v>
      </c>
      <c r="N23" s="92">
        <f t="shared" si="0"/>
        <v>0</v>
      </c>
      <c r="O23" s="1"/>
      <c r="P23" s="1"/>
      <c r="Q23" s="1"/>
      <c r="R23" s="1"/>
      <c r="S23" s="1"/>
      <c r="T23" s="1"/>
      <c r="U23" s="1"/>
      <c r="V23" s="1"/>
      <c r="W23" s="1"/>
      <c r="X23" s="1"/>
      <c r="Y23" s="1"/>
      <c r="Z23" s="1"/>
      <c r="AA23" s="1"/>
      <c r="AB23" s="1"/>
    </row>
    <row r="24" spans="2:28" ht="15.75">
      <c r="B24" s="20" t="str">
        <f>"Annual year 2 seed production"</f>
        <v>Annual year 2 seed production</v>
      </c>
      <c r="C24" s="1"/>
      <c r="D24" s="439">
        <v>1.5</v>
      </c>
      <c r="E24" s="440">
        <f>SUM($E$8*D59)</f>
        <v>8.207365777777778</v>
      </c>
      <c r="F24" s="52">
        <v>0</v>
      </c>
      <c r="G24" s="360" t="s">
        <v>269</v>
      </c>
      <c r="H24" s="53">
        <f>(((((('Fixed Cost Input'!$D$9*Production!J$22)-('Fixed Cost Input'!$D$9*Production!J$22*('Fixed Cost Input'!$D$5)))/20)+((('Fixed Cost Input'!$D$9*Production!J$22)+('Fixed Cost Input'!$D$9*Production!J$22*('Fixed Cost Input'!$D$5)))/2)*('Fixed Cost Input'!$D$6)))*'Fixed Cost Input'!$C$9)+(((((('Fixed Cost Input'!$D$10*Production!J$22)-('Fixed Cost Input'!$D$10*Production!J$22*('Fixed Cost Input'!$D$5)))/20)+((('Fixed Cost Input'!$D$10*Production!J$22)+('Fixed Cost Input'!$D$10*Production!J$22*('Fixed Cost Input'!$D$5)))/2)*('Fixed Cost Input'!$D$6)))*'Fixed Cost Input'!$C$10)</f>
        <v>0.5630208333333335</v>
      </c>
      <c r="I24" s="360" t="s">
        <v>269</v>
      </c>
      <c r="J24" s="360" t="s">
        <v>269</v>
      </c>
      <c r="K24" s="360">
        <v>7.5</v>
      </c>
      <c r="L24" s="360" t="s">
        <v>269</v>
      </c>
      <c r="M24" s="360" t="s">
        <v>269</v>
      </c>
      <c r="N24" s="92">
        <f t="shared" si="0"/>
        <v>7.5</v>
      </c>
      <c r="O24" s="1"/>
      <c r="P24" s="1"/>
      <c r="Q24" s="1"/>
      <c r="R24" s="1"/>
      <c r="S24" s="1"/>
      <c r="T24" s="1"/>
      <c r="U24" s="1"/>
      <c r="V24" s="1"/>
      <c r="W24" s="1"/>
      <c r="X24" s="1"/>
      <c r="Y24" s="1"/>
      <c r="Z24" s="1"/>
      <c r="AA24" s="1"/>
      <c r="AB24" s="1"/>
    </row>
    <row r="25" spans="1:28" ht="15.75">
      <c r="A25" s="10" t="s">
        <v>171</v>
      </c>
      <c r="C25" s="1"/>
      <c r="D25" s="441"/>
      <c r="E25" s="86"/>
      <c r="F25" s="254"/>
      <c r="G25" s="407"/>
      <c r="H25" s="53"/>
      <c r="I25" s="407"/>
      <c r="J25" s="407"/>
      <c r="K25" s="407"/>
      <c r="L25" s="407"/>
      <c r="M25" s="407"/>
      <c r="N25" s="18"/>
      <c r="O25" s="1"/>
      <c r="P25" s="1"/>
      <c r="Q25" s="1"/>
      <c r="R25" s="1"/>
      <c r="S25" s="1"/>
      <c r="T25" s="1"/>
      <c r="U25" s="1"/>
      <c r="V25" s="1"/>
      <c r="W25" s="1"/>
      <c r="X25" s="1"/>
      <c r="Y25" s="1"/>
      <c r="Z25" s="1"/>
      <c r="AA25" s="1"/>
      <c r="AB25" s="1"/>
    </row>
    <row r="26" spans="2:28" ht="15.75">
      <c r="B26" s="404" t="str">
        <f>"Year 1 establishment - "&amp;'Seed, Fertilizer &amp; Chemicals'!C18&amp;" nurse crop"</f>
        <v>Year 1 establishment - Wheat nurse crop</v>
      </c>
      <c r="C26" s="1"/>
      <c r="D26" s="439">
        <v>1.5</v>
      </c>
      <c r="E26" s="440">
        <f>SUM($E$8*D61)</f>
        <v>20.494311466666666</v>
      </c>
      <c r="F26" s="52">
        <f>11.19+5.8</f>
        <v>16.99</v>
      </c>
      <c r="G26" s="360" t="s">
        <v>269</v>
      </c>
      <c r="H26" s="53">
        <f>(((((('Fixed Cost Input'!$D$9*Summary!L$47)-('Fixed Cost Input'!$D$9*Summary!L$47*('Fixed Cost Input'!$D$5)))/20)+((('Fixed Cost Input'!$D$9*Summary!L$47)+('Fixed Cost Input'!$D$9*Summary!L$47*('Fixed Cost Input'!$D$5)))/2)*('Fixed Cost Input'!$D$6)))*'Fixed Cost Input'!$C$9)+(((((('Fixed Cost Input'!$D$10*Summary!L$47)-('Fixed Cost Input'!$D$10*Summary!L$47*('Fixed Cost Input'!$D$5)))/20)+((('Fixed Cost Input'!$D$10*Summary!L$47)+('Fixed Cost Input'!$D$10*Summary!L$47*('Fixed Cost Input'!$D$5)))/2)*('Fixed Cost Input'!$D$6)))*'Fixed Cost Input'!$C$10)</f>
        <v>5.405</v>
      </c>
      <c r="I26" s="360" t="s">
        <v>269</v>
      </c>
      <c r="J26" s="360" t="s">
        <v>269</v>
      </c>
      <c r="K26" s="360" t="s">
        <v>269</v>
      </c>
      <c r="L26" s="360" t="s">
        <v>269</v>
      </c>
      <c r="M26" s="360" t="s">
        <v>269</v>
      </c>
      <c r="N26" s="92">
        <f t="shared" si="0"/>
        <v>0</v>
      </c>
      <c r="O26" s="1"/>
      <c r="P26" s="1"/>
      <c r="Q26" s="1"/>
      <c r="R26" s="1"/>
      <c r="S26" s="1"/>
      <c r="T26" s="1"/>
      <c r="U26" s="1"/>
      <c r="V26" s="1"/>
      <c r="W26" s="1"/>
      <c r="X26" s="1"/>
      <c r="Y26" s="1"/>
      <c r="Z26" s="1"/>
      <c r="AA26" s="1"/>
      <c r="AB26" s="1"/>
    </row>
    <row r="27" spans="2:28" ht="15.75">
      <c r="B27" s="20" t="str">
        <f>"Annual year 2 seed production"</f>
        <v>Annual year 2 seed production</v>
      </c>
      <c r="C27" s="1"/>
      <c r="D27" s="439">
        <v>1.5</v>
      </c>
      <c r="E27" s="440">
        <f>SUM($E$8*D62)</f>
        <v>12.287426222222221</v>
      </c>
      <c r="F27" s="52">
        <v>19.61</v>
      </c>
      <c r="G27" s="360" t="s">
        <v>269</v>
      </c>
      <c r="H27" s="53">
        <f>(((((('Fixed Cost Input'!$D$9*Production!F$22)-('Fixed Cost Input'!$D$9*Production!F$22*('Fixed Cost Input'!$D$5)))/20)+((('Fixed Cost Input'!$D$9*Production!F$22)+('Fixed Cost Input'!$D$9*Production!F$22*('Fixed Cost Input'!$D$5)))/2)*('Fixed Cost Input'!$D$6)))*'Fixed Cost Input'!$C$9)+(((((('Fixed Cost Input'!$D$10*Production!F$22)-('Fixed Cost Input'!$D$10*Production!F$22*('Fixed Cost Input'!$D$5)))/20)+((('Fixed Cost Input'!$D$10*Production!F$22)+('Fixed Cost Input'!$D$10*Production!F$22*('Fixed Cost Input'!$D$5)))/2)*('Fixed Cost Input'!$D$6)))*'Fixed Cost Input'!$C$10)</f>
        <v>4.504166666666668</v>
      </c>
      <c r="I27" s="360" t="s">
        <v>269</v>
      </c>
      <c r="J27" s="360" t="s">
        <v>269</v>
      </c>
      <c r="K27" s="360">
        <v>7.5</v>
      </c>
      <c r="L27" s="360" t="s">
        <v>269</v>
      </c>
      <c r="M27" s="360" t="s">
        <v>269</v>
      </c>
      <c r="N27" s="92">
        <f t="shared" si="0"/>
        <v>7.5</v>
      </c>
      <c r="O27" s="1"/>
      <c r="P27" s="1"/>
      <c r="Q27" s="1"/>
      <c r="R27" s="1"/>
      <c r="S27" s="1"/>
      <c r="T27" s="1"/>
      <c r="U27" s="1"/>
      <c r="V27" s="1"/>
      <c r="W27" s="1"/>
      <c r="X27" s="1"/>
      <c r="Y27" s="1"/>
      <c r="Z27" s="1"/>
      <c r="AA27" s="1"/>
      <c r="AB27" s="1"/>
    </row>
    <row r="28" spans="1:28" ht="15.75">
      <c r="A28" s="10" t="s">
        <v>173</v>
      </c>
      <c r="C28" s="1"/>
      <c r="D28" s="441"/>
      <c r="E28" s="86"/>
      <c r="F28" s="254"/>
      <c r="G28" s="427"/>
      <c r="H28" s="53"/>
      <c r="I28" s="407"/>
      <c r="J28" s="407"/>
      <c r="K28" s="407"/>
      <c r="L28" s="407"/>
      <c r="M28" s="407"/>
      <c r="N28" s="18"/>
      <c r="P28" s="1"/>
      <c r="Q28" s="1"/>
      <c r="R28" s="1"/>
      <c r="S28" s="1"/>
      <c r="T28" s="1"/>
      <c r="U28" s="1"/>
      <c r="V28" s="1"/>
      <c r="W28" s="1"/>
      <c r="X28" s="1"/>
      <c r="Y28" s="1"/>
      <c r="Z28" s="1"/>
      <c r="AA28" s="1"/>
      <c r="AB28" s="1"/>
    </row>
    <row r="29" spans="2:28" ht="15.75">
      <c r="B29" s="404" t="str">
        <f>"Year 1 establishment - "&amp;'Seed, Fertilizer &amp; Chemicals'!C21&amp;" nurse crop"</f>
        <v>Year 1 establishment - Wheat nurse crop</v>
      </c>
      <c r="C29" s="1"/>
      <c r="D29" s="439">
        <v>1.5</v>
      </c>
      <c r="E29" s="440">
        <f>SUM($E$8*D64)</f>
        <v>19.801864746666666</v>
      </c>
      <c r="F29" s="52">
        <v>11.19</v>
      </c>
      <c r="G29" s="360" t="s">
        <v>269</v>
      </c>
      <c r="H29" s="53">
        <f>(((((('Fixed Cost Input'!$D$9*Summary!N$47)-('Fixed Cost Input'!$D$9*Summary!N$47*('Fixed Cost Input'!$D$5)))/20)+((('Fixed Cost Input'!$D$9*Summary!N$47)+('Fixed Cost Input'!$D$9*Summary!N$47*('Fixed Cost Input'!$D$5)))/2)*('Fixed Cost Input'!$D$6)))*'Fixed Cost Input'!$C$9)+(((((('Fixed Cost Input'!$D$10*Summary!N$47)-('Fixed Cost Input'!$D$10*Summary!N$47*('Fixed Cost Input'!$D$5)))/20)+((('Fixed Cost Input'!$D$10*Summary!N$47)+('Fixed Cost Input'!$D$10*Summary!N$47*('Fixed Cost Input'!$D$5)))/2)*('Fixed Cost Input'!$D$6)))*'Fixed Cost Input'!$C$10)</f>
        <v>4.594250000000001</v>
      </c>
      <c r="I29" s="360" t="s">
        <v>269</v>
      </c>
      <c r="J29" s="360" t="s">
        <v>269</v>
      </c>
      <c r="K29" s="360" t="s">
        <v>269</v>
      </c>
      <c r="L29" s="360" t="s">
        <v>269</v>
      </c>
      <c r="M29" s="360" t="s">
        <v>269</v>
      </c>
      <c r="N29" s="92">
        <f>SUM(I29:M29)</f>
        <v>0</v>
      </c>
      <c r="O29" s="1"/>
      <c r="P29" s="1"/>
      <c r="Q29" s="1"/>
      <c r="R29" s="1"/>
      <c r="S29" s="1"/>
      <c r="T29" s="1"/>
      <c r="U29" s="1"/>
      <c r="V29" s="1"/>
      <c r="W29" s="1"/>
      <c r="X29" s="1"/>
      <c r="Y29" s="1"/>
      <c r="Z29" s="1"/>
      <c r="AA29" s="1"/>
      <c r="AB29" s="1"/>
    </row>
    <row r="30" spans="2:28" ht="15.75">
      <c r="B30" s="20" t="str">
        <f>"Annual years 2 to "&amp;Production!G17&amp;" seed production"</f>
        <v>Annual years 2 to 4 seed production</v>
      </c>
      <c r="C30" s="1"/>
      <c r="D30" s="439">
        <v>1.5</v>
      </c>
      <c r="E30" s="440">
        <f>SUM($E$8*D65)</f>
        <v>10.181823393939395</v>
      </c>
      <c r="F30" s="52">
        <v>0</v>
      </c>
      <c r="G30" s="360" t="s">
        <v>269</v>
      </c>
      <c r="H30" s="53">
        <f>(((((('Fixed Cost Input'!$D$9*Production!G$22)-('Fixed Cost Input'!$D$9*Production!G$22*('Fixed Cost Input'!$D$5)))/20)+((('Fixed Cost Input'!$D$9*Production!G$22)+('Fixed Cost Input'!$D$9*Production!G$22*('Fixed Cost Input'!$D$5)))/2)*('Fixed Cost Input'!$D$6)))*'Fixed Cost Input'!$C$9)+(((((('Fixed Cost Input'!$D$10*Production!G$22)-('Fixed Cost Input'!$D$10*Production!G$22*('Fixed Cost Input'!$D$5)))/20)+((('Fixed Cost Input'!$D$10*Production!G$22)+('Fixed Cost Input'!$D$10*Production!G$22*('Fixed Cost Input'!$D$5)))/2)*('Fixed Cost Input'!$D$6)))*'Fixed Cost Input'!$C$10)</f>
        <v>2.4568181818181825</v>
      </c>
      <c r="I30" s="360" t="s">
        <v>269</v>
      </c>
      <c r="J30" s="360" t="s">
        <v>269</v>
      </c>
      <c r="K30" s="360">
        <v>7.5</v>
      </c>
      <c r="L30" s="360" t="s">
        <v>269</v>
      </c>
      <c r="M30" s="360" t="s">
        <v>269</v>
      </c>
      <c r="N30" s="92">
        <f>SUM(I30:M30)</f>
        <v>7.5</v>
      </c>
      <c r="O30" s="1"/>
      <c r="P30" s="1"/>
      <c r="Q30" s="1"/>
      <c r="R30" s="1"/>
      <c r="S30" s="1"/>
      <c r="T30" s="1"/>
      <c r="U30" s="1"/>
      <c r="V30" s="1"/>
      <c r="W30" s="1"/>
      <c r="X30" s="1"/>
      <c r="Y30" s="1"/>
      <c r="Z30" s="1"/>
      <c r="AA30" s="1"/>
      <c r="AB30" s="1"/>
    </row>
    <row r="31" spans="1:28" ht="15.75">
      <c r="A31" s="10" t="s">
        <v>175</v>
      </c>
      <c r="C31" s="1"/>
      <c r="D31" s="441"/>
      <c r="E31" s="86"/>
      <c r="F31" s="72"/>
      <c r="G31" s="427"/>
      <c r="H31" s="53"/>
      <c r="I31" s="407"/>
      <c r="J31" s="407"/>
      <c r="K31" s="407"/>
      <c r="L31" s="407"/>
      <c r="M31" s="407"/>
      <c r="N31" s="18"/>
      <c r="O31" s="1"/>
      <c r="P31" s="1"/>
      <c r="Q31" s="1"/>
      <c r="R31" s="1"/>
      <c r="S31" s="1"/>
      <c r="T31" s="1"/>
      <c r="U31" s="1"/>
      <c r="V31" s="1"/>
      <c r="W31" s="1"/>
      <c r="X31" s="1"/>
      <c r="Y31" s="1"/>
      <c r="Z31" s="1"/>
      <c r="AA31" s="1"/>
      <c r="AB31" s="1"/>
    </row>
    <row r="32" spans="2:28" ht="15.75">
      <c r="B32" s="404" t="str">
        <f>"Year 1 establishment - "&amp;'Seed, Fertilizer &amp; Chemicals'!C24&amp;" nurse crop"</f>
        <v>Year 1 establishment - Wheat nurse crop</v>
      </c>
      <c r="C32" s="1"/>
      <c r="D32" s="439">
        <v>1.5</v>
      </c>
      <c r="E32" s="440">
        <f>SUM($E$8*D67)</f>
        <v>19.801864746666666</v>
      </c>
      <c r="F32" s="52">
        <v>11.19</v>
      </c>
      <c r="G32" s="360" t="s">
        <v>269</v>
      </c>
      <c r="H32" s="53">
        <f>(((((('Fixed Cost Input'!$D$9*Summary!P$47)-('Fixed Cost Input'!$D$9*Summary!P$47*('Fixed Cost Input'!$D$5)))/20)+((('Fixed Cost Input'!$D$9*Summary!P$47)+('Fixed Cost Input'!$D$9*Summary!P$47*('Fixed Cost Input'!$D$5)))/2)*('Fixed Cost Input'!$D$6)))*'Fixed Cost Input'!$C$9)+(((((('Fixed Cost Input'!$D$10*Summary!P$47)-('Fixed Cost Input'!$D$10*Summary!P$47*('Fixed Cost Input'!$D$5)))/20)+((('Fixed Cost Input'!$D$10*Summary!P$47)+('Fixed Cost Input'!$D$10*Summary!P$47*('Fixed Cost Input'!$D$5)))/2)*('Fixed Cost Input'!$D$6)))*'Fixed Cost Input'!$C$10)</f>
        <v>4.594250000000001</v>
      </c>
      <c r="I32" s="360" t="s">
        <v>269</v>
      </c>
      <c r="J32" s="360" t="s">
        <v>269</v>
      </c>
      <c r="K32" s="360" t="s">
        <v>269</v>
      </c>
      <c r="L32" s="360" t="s">
        <v>269</v>
      </c>
      <c r="M32" s="360" t="s">
        <v>269</v>
      </c>
      <c r="N32" s="92">
        <f>SUM(I32:M32)</f>
        <v>0</v>
      </c>
      <c r="O32" s="1"/>
      <c r="P32" s="1"/>
      <c r="Q32" s="1"/>
      <c r="R32" s="1"/>
      <c r="S32" s="1"/>
      <c r="T32" s="1"/>
      <c r="U32" s="1"/>
      <c r="V32" s="1"/>
      <c r="W32" s="1"/>
      <c r="X32" s="1"/>
      <c r="Y32" s="1"/>
      <c r="Z32" s="1"/>
      <c r="AA32" s="1"/>
      <c r="AB32" s="1"/>
    </row>
    <row r="33" spans="2:28" ht="15.75">
      <c r="B33" s="20" t="str">
        <f>"Annual years 2 to "&amp;Production!I17&amp;" seed production"</f>
        <v>Annual years 2 to 5 seed production</v>
      </c>
      <c r="C33" s="1"/>
      <c r="D33" s="439">
        <v>1.5</v>
      </c>
      <c r="E33" s="440">
        <f>SUM($E$8*D68)</f>
        <v>9.182192622222221</v>
      </c>
      <c r="F33" s="52">
        <v>0</v>
      </c>
      <c r="G33" s="360" t="s">
        <v>269</v>
      </c>
      <c r="H33" s="53">
        <f>(((((('Fixed Cost Input'!$D$9*Production!I$22)-('Fixed Cost Input'!$D$9*Production!I$22*('Fixed Cost Input'!$D$5)))/20)+((('Fixed Cost Input'!$D$9*Production!I$22)+('Fixed Cost Input'!$D$9*Production!I$22*('Fixed Cost Input'!$D$5)))/2)*('Fixed Cost Input'!$D$6)))*'Fixed Cost Input'!$C$9)+(((((('Fixed Cost Input'!$D$10*Production!I$22)-('Fixed Cost Input'!$D$10*Production!I$22*('Fixed Cost Input'!$D$5)))/20)+((('Fixed Cost Input'!$D$10*Production!I$22)+('Fixed Cost Input'!$D$10*Production!I$22*('Fixed Cost Input'!$D$5)))/2)*('Fixed Cost Input'!$D$6)))*'Fixed Cost Input'!$C$10)</f>
        <v>0.4504166666666667</v>
      </c>
      <c r="I33" s="360" t="s">
        <v>269</v>
      </c>
      <c r="J33" s="360" t="s">
        <v>269</v>
      </c>
      <c r="K33" s="360">
        <v>7.5</v>
      </c>
      <c r="L33" s="360" t="s">
        <v>269</v>
      </c>
      <c r="M33" s="360" t="s">
        <v>269</v>
      </c>
      <c r="N33" s="92">
        <f>SUM(I33:M33)</f>
        <v>7.5</v>
      </c>
      <c r="O33" s="1"/>
      <c r="P33" s="1"/>
      <c r="Q33" s="1"/>
      <c r="R33" s="1"/>
      <c r="S33" s="1"/>
      <c r="T33" s="1"/>
      <c r="U33" s="1"/>
      <c r="V33" s="1"/>
      <c r="W33" s="1"/>
      <c r="X33" s="1"/>
      <c r="Y33" s="1"/>
      <c r="Z33" s="1"/>
      <c r="AA33" s="1"/>
      <c r="AB33" s="1"/>
    </row>
    <row r="34" spans="1:28" ht="15.75">
      <c r="A34" s="10" t="s">
        <v>132</v>
      </c>
      <c r="C34" s="1"/>
      <c r="D34" s="441"/>
      <c r="E34" s="86"/>
      <c r="F34" s="72"/>
      <c r="G34" s="427"/>
      <c r="H34" s="53"/>
      <c r="I34" s="407"/>
      <c r="J34" s="407"/>
      <c r="K34" s="407"/>
      <c r="L34" s="407"/>
      <c r="M34" s="407"/>
      <c r="N34" s="18"/>
      <c r="O34" s="1"/>
      <c r="P34" s="1"/>
      <c r="Q34" s="1"/>
      <c r="R34" s="1"/>
      <c r="S34" s="1"/>
      <c r="T34" s="1"/>
      <c r="U34" s="1"/>
      <c r="V34" s="1"/>
      <c r="W34" s="1"/>
      <c r="X34" s="1"/>
      <c r="Y34" s="1"/>
      <c r="Z34" s="1"/>
      <c r="AA34" s="1"/>
      <c r="AB34" s="1"/>
    </row>
    <row r="35" spans="2:28" ht="15.75">
      <c r="B35" s="404" t="str">
        <f>"Year 1 establishment - "&amp;'Seed, Fertilizer &amp; Chemicals'!C27&amp;" nurse crop"</f>
        <v>Year 1 establishment - Wheat nurse crop</v>
      </c>
      <c r="C35" s="1"/>
      <c r="D35" s="439">
        <v>1.5</v>
      </c>
      <c r="E35" s="440">
        <f>SUM($E$8*D70)</f>
        <v>19.801864746666666</v>
      </c>
      <c r="F35" s="52">
        <v>11.19</v>
      </c>
      <c r="G35" s="360" t="s">
        <v>269</v>
      </c>
      <c r="H35" s="53">
        <f>(((((('Fixed Cost Input'!$D$9*Summary!R$47)-('Fixed Cost Input'!$D$9*Summary!R$47*('Fixed Cost Input'!$D$5)))/20)+((('Fixed Cost Input'!$D$9*Summary!R$47)+('Fixed Cost Input'!$D$9*Summary!R$47*('Fixed Cost Input'!$D$5)))/2)*('Fixed Cost Input'!$D$6)))*'Fixed Cost Input'!$C$9)+(((((('Fixed Cost Input'!$D$10*Summary!R$47)-('Fixed Cost Input'!$D$10*Summary!R$47*('Fixed Cost Input'!$D$5)))/20)+((('Fixed Cost Input'!$D$10*Summary!R$47)+('Fixed Cost Input'!$D$10*Summary!R$47*('Fixed Cost Input'!$D$5)))/2)*('Fixed Cost Input'!$D$6)))*'Fixed Cost Input'!$C$10)</f>
        <v>4.594250000000001</v>
      </c>
      <c r="I35" s="360" t="s">
        <v>269</v>
      </c>
      <c r="J35" s="360" t="s">
        <v>269</v>
      </c>
      <c r="K35" s="360" t="s">
        <v>269</v>
      </c>
      <c r="L35" s="360" t="s">
        <v>269</v>
      </c>
      <c r="M35" s="360" t="s">
        <v>269</v>
      </c>
      <c r="N35" s="92">
        <f>SUM(I35:M35)</f>
        <v>0</v>
      </c>
      <c r="O35" s="1"/>
      <c r="P35" s="1"/>
      <c r="Q35" s="1"/>
      <c r="R35" s="1"/>
      <c r="S35" s="1"/>
      <c r="T35" s="1"/>
      <c r="U35" s="1"/>
      <c r="V35" s="1"/>
      <c r="W35" s="1"/>
      <c r="X35" s="1"/>
      <c r="Y35" s="1"/>
      <c r="Z35" s="1"/>
      <c r="AA35" s="1"/>
      <c r="AB35" s="1"/>
    </row>
    <row r="36" spans="2:28" ht="15.75">
      <c r="B36" s="20" t="s">
        <v>234</v>
      </c>
      <c r="C36" s="1"/>
      <c r="D36" s="439">
        <v>1.5</v>
      </c>
      <c r="E36" s="440">
        <f>SUM($E$8*D71)</f>
        <v>8.738</v>
      </c>
      <c r="F36" s="52">
        <v>5.8</v>
      </c>
      <c r="G36" s="360" t="s">
        <v>269</v>
      </c>
      <c r="H36" s="53"/>
      <c r="I36" s="360" t="s">
        <v>269</v>
      </c>
      <c r="J36" s="360" t="s">
        <v>269</v>
      </c>
      <c r="K36" s="360" t="s">
        <v>269</v>
      </c>
      <c r="L36" s="360" t="s">
        <v>269</v>
      </c>
      <c r="M36" s="360" t="s">
        <v>269</v>
      </c>
      <c r="N36" s="92">
        <f>SUM(I36:M36)</f>
        <v>0</v>
      </c>
      <c r="O36" s="1"/>
      <c r="P36" s="1"/>
      <c r="Q36" s="1"/>
      <c r="R36" s="1"/>
      <c r="S36" s="1"/>
      <c r="T36" s="1"/>
      <c r="U36" s="1"/>
      <c r="V36" s="1"/>
      <c r="W36" s="1"/>
      <c r="X36" s="1"/>
      <c r="Y36" s="1"/>
      <c r="Z36" s="1"/>
      <c r="AA36" s="1"/>
      <c r="AB36" s="1"/>
    </row>
    <row r="37" spans="2:28" ht="15.75">
      <c r="B37" s="20" t="str">
        <f>"Annual years 2 to "&amp;Production!K17&amp;" seed production"</f>
        <v>Annual years 2 to 4 seed production</v>
      </c>
      <c r="C37" s="1"/>
      <c r="D37" s="439">
        <v>1.5</v>
      </c>
      <c r="E37" s="440">
        <f>SUM($E$8*D72)</f>
        <v>11.5457336</v>
      </c>
      <c r="F37" s="52">
        <v>22.86</v>
      </c>
      <c r="G37" s="360" t="s">
        <v>269</v>
      </c>
      <c r="H37" s="53">
        <f>(((((('Fixed Cost Input'!$D$9*Production!K$22)-('Fixed Cost Input'!$D$9*Production!K$22*('Fixed Cost Input'!$D$5)))/20)+((('Fixed Cost Input'!$D$9*Production!K$22)+('Fixed Cost Input'!$D$9*Production!K$22*('Fixed Cost Input'!$D$5)))/2)*('Fixed Cost Input'!$D$6)))*'Fixed Cost Input'!$C$9)+(((((('Fixed Cost Input'!$D$10*Production!K$22)-('Fixed Cost Input'!$D$10*Production!K$22*('Fixed Cost Input'!$D$5)))/20)+((('Fixed Cost Input'!$D$10*Production!K$22)+('Fixed Cost Input'!$D$10*Production!K$22*('Fixed Cost Input'!$D$5)))/2)*('Fixed Cost Input'!$D$6)))*'Fixed Cost Input'!$C$10)</f>
        <v>4.053750000000001</v>
      </c>
      <c r="I37" s="360" t="s">
        <v>269</v>
      </c>
      <c r="J37" s="360" t="s">
        <v>269</v>
      </c>
      <c r="K37" s="360">
        <v>7.5</v>
      </c>
      <c r="L37" s="360" t="s">
        <v>269</v>
      </c>
      <c r="M37" s="360" t="s">
        <v>269</v>
      </c>
      <c r="N37" s="92">
        <f>SUM(I37:M37)</f>
        <v>7.5</v>
      </c>
      <c r="O37" s="1"/>
      <c r="P37" s="1"/>
      <c r="Q37" s="1"/>
      <c r="R37" s="1"/>
      <c r="S37" s="1"/>
      <c r="T37" s="1"/>
      <c r="U37" s="1"/>
      <c r="V37" s="1"/>
      <c r="W37" s="1"/>
      <c r="X37" s="1"/>
      <c r="Y37" s="1"/>
      <c r="Z37" s="1"/>
      <c r="AA37" s="1"/>
      <c r="AB37" s="1"/>
    </row>
    <row r="38" spans="2:28" ht="15.75">
      <c r="B38" s="22"/>
      <c r="C38" s="1"/>
      <c r="D38" s="352"/>
      <c r="E38" s="359"/>
      <c r="F38" s="52"/>
      <c r="G38" s="52"/>
      <c r="H38" s="53"/>
      <c r="I38" s="360"/>
      <c r="J38" s="360"/>
      <c r="K38" s="360"/>
      <c r="L38" s="360"/>
      <c r="M38" s="360"/>
      <c r="N38" s="92"/>
      <c r="O38" s="1"/>
      <c r="P38" s="1"/>
      <c r="Q38" s="1"/>
      <c r="R38" s="1"/>
      <c r="S38" s="1"/>
      <c r="T38" s="1"/>
      <c r="U38" s="1"/>
      <c r="V38" s="1"/>
      <c r="W38" s="1"/>
      <c r="X38" s="1"/>
      <c r="Y38" s="1"/>
      <c r="Z38" s="1"/>
      <c r="AA38" s="1"/>
      <c r="AB38" s="1"/>
    </row>
    <row r="39" spans="1:14" ht="15.75">
      <c r="A39" s="361" t="s">
        <v>270</v>
      </c>
      <c r="E39" s="52"/>
      <c r="N39" s="115"/>
    </row>
    <row r="40" spans="1:14" ht="7.5" customHeight="1">
      <c r="A40" s="361"/>
      <c r="E40" s="52"/>
      <c r="N40" s="115"/>
    </row>
    <row r="41" spans="1:14" ht="18">
      <c r="A41" s="511" t="s">
        <v>271</v>
      </c>
      <c r="B41" s="511"/>
      <c r="C41" s="511"/>
      <c r="D41" s="511"/>
      <c r="E41" s="511"/>
      <c r="F41" s="511"/>
      <c r="G41" s="511"/>
      <c r="H41" s="511"/>
      <c r="I41" s="511"/>
      <c r="J41" s="511"/>
      <c r="K41" s="511"/>
      <c r="L41" s="511"/>
      <c r="M41" s="511"/>
      <c r="N41" s="511"/>
    </row>
    <row r="42" ht="7.5" customHeight="1">
      <c r="F42" s="61"/>
    </row>
    <row r="43" spans="1:28" ht="15.75">
      <c r="A43" s="362"/>
      <c r="B43" s="363"/>
      <c r="C43" s="363"/>
      <c r="D43" s="364"/>
      <c r="E43" s="522" t="s">
        <v>272</v>
      </c>
      <c r="F43" s="522"/>
      <c r="G43" s="522"/>
      <c r="H43" s="522"/>
      <c r="I43" s="522"/>
      <c r="J43" s="522"/>
      <c r="K43" s="522"/>
      <c r="L43" s="523"/>
      <c r="M43" s="524" t="s">
        <v>179</v>
      </c>
      <c r="N43" s="523"/>
      <c r="Y43" s="1"/>
      <c r="Z43" s="1"/>
      <c r="AA43" s="1"/>
      <c r="AB43" s="1"/>
    </row>
    <row r="44" spans="1:28" ht="30" customHeight="1">
      <c r="A44" s="255"/>
      <c r="B44" s="41"/>
      <c r="C44" s="41"/>
      <c r="D44" s="365"/>
      <c r="E44" s="527" t="s">
        <v>273</v>
      </c>
      <c r="F44" s="525" t="s">
        <v>274</v>
      </c>
      <c r="G44" s="525" t="s">
        <v>180</v>
      </c>
      <c r="H44" s="525" t="s">
        <v>181</v>
      </c>
      <c r="I44" s="525" t="s">
        <v>196</v>
      </c>
      <c r="J44" s="525" t="s">
        <v>197</v>
      </c>
      <c r="K44" s="525" t="s">
        <v>182</v>
      </c>
      <c r="L44" s="525" t="s">
        <v>275</v>
      </c>
      <c r="M44" s="525" t="s">
        <v>183</v>
      </c>
      <c r="N44" s="525" t="s">
        <v>184</v>
      </c>
      <c r="Y44" s="1"/>
      <c r="Z44" s="1"/>
      <c r="AA44" s="1"/>
      <c r="AB44" s="1"/>
    </row>
    <row r="45" spans="1:28" ht="30" customHeight="1">
      <c r="A45" s="255"/>
      <c r="B45" s="41"/>
      <c r="C45" s="41"/>
      <c r="D45" s="366" t="s">
        <v>15</v>
      </c>
      <c r="E45" s="528"/>
      <c r="F45" s="526"/>
      <c r="G45" s="526"/>
      <c r="H45" s="526"/>
      <c r="I45" s="526"/>
      <c r="J45" s="526"/>
      <c r="K45" s="526"/>
      <c r="L45" s="526"/>
      <c r="M45" s="526"/>
      <c r="N45" s="526"/>
      <c r="Y45" s="1"/>
      <c r="Z45" s="1"/>
      <c r="AA45" s="1"/>
      <c r="AB45" s="1"/>
    </row>
    <row r="46" spans="1:24" s="369" customFormat="1" ht="18" customHeight="1">
      <c r="A46" s="409" t="s">
        <v>3</v>
      </c>
      <c r="B46" s="410"/>
      <c r="C46" s="410"/>
      <c r="D46" s="411" t="s">
        <v>185</v>
      </c>
      <c r="E46" s="367">
        <v>2.25</v>
      </c>
      <c r="F46" s="367">
        <v>0.75</v>
      </c>
      <c r="G46" s="367">
        <v>2.5</v>
      </c>
      <c r="H46" s="367">
        <v>0.42</v>
      </c>
      <c r="I46" s="367">
        <v>0.42</v>
      </c>
      <c r="J46" s="367">
        <v>0.77</v>
      </c>
      <c r="K46" s="367">
        <v>1.13</v>
      </c>
      <c r="L46" s="367">
        <v>5.54</v>
      </c>
      <c r="M46" s="412">
        <v>2</v>
      </c>
      <c r="N46" s="417"/>
      <c r="O46" s="368"/>
      <c r="P46" s="368"/>
      <c r="Q46" s="368"/>
      <c r="R46" s="368"/>
      <c r="S46" s="368"/>
      <c r="T46" s="368"/>
      <c r="U46" s="368"/>
      <c r="V46" s="368"/>
      <c r="W46" s="368"/>
      <c r="X46" s="368"/>
    </row>
    <row r="47" spans="1:28" ht="15.75">
      <c r="A47" s="418" t="str">
        <f>A12</f>
        <v>Alfalfa Seed</v>
      </c>
      <c r="B47" s="419"/>
      <c r="C47" s="419"/>
      <c r="D47" s="431"/>
      <c r="E47" s="432"/>
      <c r="F47" s="432"/>
      <c r="G47" s="432"/>
      <c r="H47" s="432"/>
      <c r="I47" s="432"/>
      <c r="J47" s="432"/>
      <c r="K47" s="432"/>
      <c r="L47" s="432"/>
      <c r="M47" s="433"/>
      <c r="N47" s="434"/>
      <c r="Y47" s="1"/>
      <c r="Z47" s="1"/>
      <c r="AA47" s="1"/>
      <c r="AB47" s="1"/>
    </row>
    <row r="48" spans="1:28" ht="15.75">
      <c r="A48" s="420"/>
      <c r="B48" s="415" t="str">
        <f>B13</f>
        <v>Year 1 establishment - Wheat nurse crop</v>
      </c>
      <c r="C48" s="41"/>
      <c r="D48" s="413">
        <f>SUM(E48*$E$46)+(F48*$F$46)+(G48*$G$46)+(H48*$H$46)+(I48*$I$46)+(J48*$J$46)+(K48*$K$46)+(L48*$L$46)+M48+N48</f>
        <v>23.296311466666666</v>
      </c>
      <c r="E48" s="435">
        <v>1</v>
      </c>
      <c r="F48" s="435">
        <v>2</v>
      </c>
      <c r="G48" s="435">
        <v>2</v>
      </c>
      <c r="H48" s="435">
        <v>3</v>
      </c>
      <c r="I48" s="435"/>
      <c r="J48" s="435"/>
      <c r="K48" s="435">
        <v>1</v>
      </c>
      <c r="L48" s="435">
        <v>1</v>
      </c>
      <c r="M48" s="414">
        <f>$M$46</f>
        <v>2</v>
      </c>
      <c r="N48" s="425">
        <f>SUM(((I4/I6)*4.546)/(I7/Summary!C47))+(((I5/I6)*4.546)/(I7/Summary!C47))</f>
        <v>4.616311466666667</v>
      </c>
      <c r="Y48" s="1"/>
      <c r="Z48" s="1"/>
      <c r="AA48" s="1"/>
      <c r="AB48" s="1"/>
    </row>
    <row r="49" spans="1:28" ht="15.75">
      <c r="A49" s="420"/>
      <c r="B49" s="415" t="str">
        <f>B14</f>
        <v>Year 1 establishment - no nurse crop</v>
      </c>
      <c r="C49" s="41"/>
      <c r="D49" s="413">
        <f>SUM(E49*$E$46)+(F49*$F$46)+(G49*$G$46)+(H49*$H$46)+(I49*$I$46)+(J49*$J$46)+(K49*$K$46)+(L49*$L$46)+M49+N49</f>
        <v>10.28</v>
      </c>
      <c r="E49" s="435">
        <v>1</v>
      </c>
      <c r="F49" s="435">
        <v>2</v>
      </c>
      <c r="G49" s="435">
        <v>1</v>
      </c>
      <c r="H49" s="435">
        <v>2</v>
      </c>
      <c r="I49" s="435">
        <v>1</v>
      </c>
      <c r="J49" s="435">
        <v>1</v>
      </c>
      <c r="K49" s="435"/>
      <c r="L49" s="435"/>
      <c r="M49" s="414">
        <f>$M$46</f>
        <v>2</v>
      </c>
      <c r="N49" s="425"/>
      <c r="Y49" s="1"/>
      <c r="Z49" s="1"/>
      <c r="AA49" s="1"/>
      <c r="AB49" s="1"/>
    </row>
    <row r="50" spans="1:28" ht="15.75">
      <c r="A50" s="408"/>
      <c r="B50" s="421" t="str">
        <f>B15</f>
        <v>Annual years 2 to 5 seed production</v>
      </c>
      <c r="C50" s="370"/>
      <c r="D50" s="422">
        <f>SUM(E50*$E$46)+(F50*$F$46)+(G50*$G$46)+(H50*$H$46)+(I50*$I$46)+(J50*$J$46)+(K50*$K$46)+(L50*$L$46)+M50+N50</f>
        <v>11.494127288888889</v>
      </c>
      <c r="E50" s="436"/>
      <c r="F50" s="436"/>
      <c r="G50" s="436"/>
      <c r="H50" s="436">
        <v>5</v>
      </c>
      <c r="I50" s="436"/>
      <c r="J50" s="436"/>
      <c r="K50" s="436">
        <v>1</v>
      </c>
      <c r="L50" s="436">
        <v>1</v>
      </c>
      <c r="M50" s="423">
        <f>$M$46</f>
        <v>2</v>
      </c>
      <c r="N50" s="437">
        <f>SUM(((I4/I6)*4.546)/(I7/Production!D22))+(((I5/I6)*4.546)/(I7/Production!D22))</f>
        <v>0.7241272888888889</v>
      </c>
      <c r="Y50" s="1"/>
      <c r="Z50" s="1"/>
      <c r="AA50" s="1"/>
      <c r="AB50" s="1"/>
    </row>
    <row r="51" spans="1:28" ht="15.75">
      <c r="A51" s="418" t="str">
        <f>A16</f>
        <v>Timothy Seed</v>
      </c>
      <c r="B51" s="419"/>
      <c r="C51" s="419"/>
      <c r="D51" s="431"/>
      <c r="E51" s="432"/>
      <c r="F51" s="432"/>
      <c r="G51" s="432"/>
      <c r="H51" s="432"/>
      <c r="I51" s="432"/>
      <c r="J51" s="432"/>
      <c r="K51" s="432"/>
      <c r="L51" s="432"/>
      <c r="M51" s="433"/>
      <c r="N51" s="438"/>
      <c r="Y51" s="1"/>
      <c r="Z51" s="1"/>
      <c r="AA51" s="1"/>
      <c r="AB51" s="1"/>
    </row>
    <row r="52" spans="1:28" ht="15.75">
      <c r="A52" s="420"/>
      <c r="B52" s="415" t="str">
        <f>B17</f>
        <v>Year 1 establishment - Wheat nurse crop</v>
      </c>
      <c r="C52" s="41"/>
      <c r="D52" s="413">
        <f>SUM(E52*$E$46)+(F52*$F$46)+(G52*$G$46)+(H52*$H$46)+(I52*$I$46)+(J52*$J$46)+(K52*$K$46)+(L52*$L$46)+M52+N52</f>
        <v>23.296311466666666</v>
      </c>
      <c r="E52" s="435">
        <v>1</v>
      </c>
      <c r="F52" s="435">
        <v>2</v>
      </c>
      <c r="G52" s="435">
        <v>2</v>
      </c>
      <c r="H52" s="435">
        <v>3</v>
      </c>
      <c r="I52" s="435"/>
      <c r="J52" s="435"/>
      <c r="K52" s="435">
        <v>1</v>
      </c>
      <c r="L52" s="435">
        <v>1</v>
      </c>
      <c r="M52" s="414">
        <f>$M$46</f>
        <v>2</v>
      </c>
      <c r="N52" s="425">
        <f>SUM(((I4/I6)*4.546)/(I7/Summary!F47))+(((I5/I6)*4.546)/(I7/Summary!F47))</f>
        <v>4.616311466666667</v>
      </c>
      <c r="Y52" s="1"/>
      <c r="Z52" s="1"/>
      <c r="AA52" s="1"/>
      <c r="AB52" s="1"/>
    </row>
    <row r="53" spans="1:28" ht="15.75">
      <c r="A53" s="420"/>
      <c r="B53" s="415" t="str">
        <f>B18</f>
        <v>Year 1 establishment - no nurse crop</v>
      </c>
      <c r="C53" s="41"/>
      <c r="D53" s="413">
        <f>SUM(E53*$E$46)+(F53*$F$46)+(G53*$G$46)+(H53*$H$46)+(I53*$I$46)+(J53*$J$46)+(K53*$K$46)+(L53*$L$46)+M53+N53</f>
        <v>10.28</v>
      </c>
      <c r="E53" s="435">
        <v>1</v>
      </c>
      <c r="F53" s="435">
        <v>2</v>
      </c>
      <c r="G53" s="435">
        <v>1</v>
      </c>
      <c r="H53" s="435">
        <v>2</v>
      </c>
      <c r="I53" s="435">
        <v>1</v>
      </c>
      <c r="J53" s="435">
        <v>1</v>
      </c>
      <c r="K53" s="435"/>
      <c r="L53" s="435"/>
      <c r="M53" s="414">
        <f>$M$46</f>
        <v>2</v>
      </c>
      <c r="N53" s="425"/>
      <c r="Y53" s="1"/>
      <c r="Z53" s="1"/>
      <c r="AA53" s="1"/>
      <c r="AB53" s="1"/>
    </row>
    <row r="54" spans="1:28" ht="15.75">
      <c r="A54" s="408"/>
      <c r="B54" s="421" t="str">
        <f>B19</f>
        <v>Annual years 2 to 5 seed production</v>
      </c>
      <c r="C54" s="370"/>
      <c r="D54" s="422">
        <f>SUM(E54*$E$46)+(F54*$F$46)+(G54*$G$46)+(H54*$H$46)+(I54*$I$46)+(J54*$J$46)+(K54*$K$46)+(L54*$L$46)+M54+N54</f>
        <v>10.986018962962962</v>
      </c>
      <c r="E54" s="436"/>
      <c r="F54" s="436"/>
      <c r="G54" s="436"/>
      <c r="H54" s="436">
        <v>3</v>
      </c>
      <c r="I54" s="436"/>
      <c r="J54" s="436"/>
      <c r="K54" s="436">
        <v>1</v>
      </c>
      <c r="L54" s="436">
        <v>1</v>
      </c>
      <c r="M54" s="423">
        <f>$M$46</f>
        <v>2</v>
      </c>
      <c r="N54" s="437">
        <f>SUM(((I4/I6)*4.546)/(I7/Production!E22))+(((I5/I6)*4.546)/(I7/Production!E22))</f>
        <v>1.056018962962963</v>
      </c>
      <c r="Y54" s="1"/>
      <c r="Z54" s="1"/>
      <c r="AA54" s="1"/>
      <c r="AB54" s="1"/>
    </row>
    <row r="55" spans="1:28" ht="15.75">
      <c r="A55" s="418" t="str">
        <f>A20</f>
        <v>Annual Ryegrass</v>
      </c>
      <c r="B55" s="419"/>
      <c r="C55" s="419"/>
      <c r="D55" s="431"/>
      <c r="E55" s="432"/>
      <c r="F55" s="432"/>
      <c r="G55" s="432"/>
      <c r="H55" s="432"/>
      <c r="I55" s="432"/>
      <c r="J55" s="432"/>
      <c r="K55" s="432"/>
      <c r="L55" s="432"/>
      <c r="M55" s="433"/>
      <c r="N55" s="438"/>
      <c r="Y55" s="1"/>
      <c r="Z55" s="1"/>
      <c r="AA55" s="1"/>
      <c r="AB55" s="1"/>
    </row>
    <row r="56" spans="1:28" ht="15.75">
      <c r="A56" s="408"/>
      <c r="B56" s="421" t="str">
        <f>B21</f>
        <v>Annual year 1 seed production</v>
      </c>
      <c r="C56" s="370"/>
      <c r="D56" s="422">
        <f>SUM(E56*$E$46)+(F56*$F$46)+(G56*$G$46)+(H56*$H$46)+(I56*$I$46)+(J56*$J$46)+(K56*$K$46)+(L56*$L$46)+M56+N56</f>
        <v>21.574382222222223</v>
      </c>
      <c r="E56" s="436">
        <v>1</v>
      </c>
      <c r="F56" s="436">
        <v>1</v>
      </c>
      <c r="G56" s="436">
        <v>1</v>
      </c>
      <c r="H56" s="436">
        <v>2</v>
      </c>
      <c r="I56" s="436">
        <v>1</v>
      </c>
      <c r="J56" s="436">
        <v>1</v>
      </c>
      <c r="K56" s="436">
        <v>1</v>
      </c>
      <c r="L56" s="436">
        <v>1</v>
      </c>
      <c r="M56" s="423">
        <f>$M$46</f>
        <v>2</v>
      </c>
      <c r="N56" s="437">
        <f>SUM(((I4/I6)*4.546)/(I7/Production!H22))+(((I5/I6)*4.546)/(I7/Production!H22))</f>
        <v>5.374382222222223</v>
      </c>
      <c r="Y56" s="1"/>
      <c r="Z56" s="1"/>
      <c r="AA56" s="1"/>
      <c r="AB56" s="1"/>
    </row>
    <row r="57" spans="1:28" ht="15.75">
      <c r="A57" s="418" t="str">
        <f>A22</f>
        <v>Red Clover</v>
      </c>
      <c r="B57" s="419"/>
      <c r="C57" s="419"/>
      <c r="D57" s="431"/>
      <c r="E57" s="432"/>
      <c r="F57" s="432"/>
      <c r="G57" s="432"/>
      <c r="H57" s="432"/>
      <c r="I57" s="432"/>
      <c r="J57" s="432"/>
      <c r="K57" s="432"/>
      <c r="L57" s="432"/>
      <c r="M57" s="433"/>
      <c r="N57" s="438"/>
      <c r="Y57" s="1"/>
      <c r="Z57" s="1"/>
      <c r="AA57" s="1"/>
      <c r="AB57" s="1"/>
    </row>
    <row r="58" spans="1:28" ht="15.75">
      <c r="A58" s="420"/>
      <c r="B58" s="415" t="str">
        <f>B23</f>
        <v>Year 1 establishment - Wheat nurse crop</v>
      </c>
      <c r="C58" s="41"/>
      <c r="D58" s="413">
        <f>SUM(E58*$E$46)+(F58*$F$46)+(G58*$G$46)+(H58*$H$46)+(I58*$I$46)+(J58*$J$46)+(K58*$K$46)+(L58*$L$46)+M58+N58</f>
        <v>23.296311466666666</v>
      </c>
      <c r="E58" s="435">
        <v>1</v>
      </c>
      <c r="F58" s="435">
        <v>2</v>
      </c>
      <c r="G58" s="435">
        <v>2</v>
      </c>
      <c r="H58" s="435">
        <v>3</v>
      </c>
      <c r="I58" s="435"/>
      <c r="J58" s="435"/>
      <c r="K58" s="435">
        <v>1</v>
      </c>
      <c r="L58" s="435">
        <v>1</v>
      </c>
      <c r="M58" s="414">
        <f>$M$46</f>
        <v>2</v>
      </c>
      <c r="N58" s="425">
        <f>SUM(((I4/I6)*4.546)/(I7/Summary!J47))+(((I5/I6)*4.546)/(I7/Summary!J47))</f>
        <v>4.616311466666667</v>
      </c>
      <c r="Y58" s="1"/>
      <c r="Z58" s="1"/>
      <c r="AA58" s="1"/>
      <c r="AB58" s="1"/>
    </row>
    <row r="59" spans="1:28" ht="15.75">
      <c r="A59" s="408"/>
      <c r="B59" s="421" t="str">
        <f>B24</f>
        <v>Annual year 2 seed production</v>
      </c>
      <c r="C59" s="370"/>
      <c r="D59" s="422">
        <f>SUM(E59*$E$46)+(F59*$F$46)+(G59*$G$46)+(H59*$H$46)+(I59*$I$46)+(J59*$J$46)+(K59*$K$46)+(L59*$L$46)+M59+N59</f>
        <v>9.655724444444445</v>
      </c>
      <c r="E59" s="436"/>
      <c r="F59" s="436"/>
      <c r="G59" s="436"/>
      <c r="H59" s="436">
        <v>1</v>
      </c>
      <c r="I59" s="436"/>
      <c r="J59" s="436"/>
      <c r="K59" s="436">
        <v>1</v>
      </c>
      <c r="L59" s="436">
        <v>1</v>
      </c>
      <c r="M59" s="423">
        <f>$M$46</f>
        <v>2</v>
      </c>
      <c r="N59" s="437">
        <f>SUM(((I4/I6)*4.546)/(I7/Production!J22))+(((I5/I6)*4.546)/(I7/Production!J22))</f>
        <v>0.5657244444444444</v>
      </c>
      <c r="Y59" s="1"/>
      <c r="Z59" s="1"/>
      <c r="AA59" s="1"/>
      <c r="AB59" s="1"/>
    </row>
    <row r="60" spans="1:28" ht="15.75">
      <c r="A60" s="418" t="str">
        <f>A25</f>
        <v>Perennial Ryegrass</v>
      </c>
      <c r="B60" s="424"/>
      <c r="C60" s="419"/>
      <c r="D60" s="431"/>
      <c r="E60" s="432"/>
      <c r="F60" s="432"/>
      <c r="G60" s="432"/>
      <c r="H60" s="432"/>
      <c r="I60" s="432"/>
      <c r="J60" s="432"/>
      <c r="K60" s="432"/>
      <c r="L60" s="432"/>
      <c r="M60" s="433"/>
      <c r="N60" s="438"/>
      <c r="Y60" s="1"/>
      <c r="Z60" s="1"/>
      <c r="AA60" s="1"/>
      <c r="AB60" s="1"/>
    </row>
    <row r="61" spans="1:28" ht="15.75">
      <c r="A61" s="420"/>
      <c r="B61" s="233" t="str">
        <f>B26</f>
        <v>Year 1 establishment - Wheat nurse crop</v>
      </c>
      <c r="C61" s="41"/>
      <c r="D61" s="413">
        <f>SUM(E61*$E$46)+(F61*$F$46)+(G61*$G$46)+(H61*$H$46)+(I61*$I$46)+(J61*$J$46)+(K61*$K$46)+(L61*$L$46)+M61+N61</f>
        <v>24.110954666666665</v>
      </c>
      <c r="E61" s="435">
        <v>1</v>
      </c>
      <c r="F61" s="435">
        <v>2</v>
      </c>
      <c r="G61" s="435">
        <v>2</v>
      </c>
      <c r="H61" s="435">
        <v>3</v>
      </c>
      <c r="I61" s="435"/>
      <c r="J61" s="435"/>
      <c r="K61" s="435">
        <v>1</v>
      </c>
      <c r="L61" s="435">
        <v>1</v>
      </c>
      <c r="M61" s="416">
        <f>$M$46</f>
        <v>2</v>
      </c>
      <c r="N61" s="425">
        <f>SUM(((I4/I6)*4.546)/(I7/Summary!L47))+(((I5/I6)*4.546)/(I7/Summary!L47))</f>
        <v>5.430954666666667</v>
      </c>
      <c r="Y61" s="1"/>
      <c r="Z61" s="1"/>
      <c r="AA61" s="1"/>
      <c r="AB61" s="1"/>
    </row>
    <row r="62" spans="1:28" ht="15.75">
      <c r="A62" s="408"/>
      <c r="B62" s="421" t="str">
        <f>B27</f>
        <v>Annual year 2 seed production</v>
      </c>
      <c r="C62" s="370"/>
      <c r="D62" s="422">
        <f>SUM(E62*$E$46)+(F62*$F$46)+(G62*$G$46)+(H62*$H$46)+(I62*$I$46)+(J62*$J$46)+(K62*$K$46)+(L62*$L$46)+M62+N62</f>
        <v>14.455795555555554</v>
      </c>
      <c r="E62" s="436"/>
      <c r="F62" s="436"/>
      <c r="G62" s="436"/>
      <c r="H62" s="436">
        <v>3</v>
      </c>
      <c r="I62" s="436"/>
      <c r="J62" s="436"/>
      <c r="K62" s="436">
        <v>1</v>
      </c>
      <c r="L62" s="436">
        <v>1</v>
      </c>
      <c r="M62" s="423">
        <f>$M$46</f>
        <v>2</v>
      </c>
      <c r="N62" s="437">
        <f>SUM(((I4/I6)*4.546)/(I7/Production!F22))+(((I5/I6)*4.546)/(I7/Production!F22))</f>
        <v>4.525795555555555</v>
      </c>
      <c r="Y62" s="1"/>
      <c r="Z62" s="1"/>
      <c r="AA62" s="1"/>
      <c r="AB62" s="1"/>
    </row>
    <row r="63" spans="1:28" ht="15.75">
      <c r="A63" s="418" t="str">
        <f>A28</f>
        <v>Meadow Fescue</v>
      </c>
      <c r="B63" s="424"/>
      <c r="C63" s="419"/>
      <c r="D63" s="431"/>
      <c r="E63" s="432"/>
      <c r="F63" s="432"/>
      <c r="G63" s="432"/>
      <c r="H63" s="432"/>
      <c r="I63" s="432"/>
      <c r="J63" s="432"/>
      <c r="K63" s="432"/>
      <c r="L63" s="432"/>
      <c r="M63" s="433"/>
      <c r="N63" s="438"/>
      <c r="Y63" s="1"/>
      <c r="Z63" s="1"/>
      <c r="AA63" s="1"/>
      <c r="AB63" s="1"/>
    </row>
    <row r="64" spans="1:28" ht="15.75">
      <c r="A64" s="420"/>
      <c r="B64" s="415" t="str">
        <f>B29</f>
        <v>Year 1 establishment - Wheat nurse crop</v>
      </c>
      <c r="C64" s="41"/>
      <c r="D64" s="413">
        <f>SUM(E64*$E$46)+(F64*$F$46)+(G64*$G$46)+(H64*$H$46)+(I64*$I$46)+(J64*$J$46)+(K64*$K$46)+(L64*$L$46)+M64+N64</f>
        <v>23.296311466666666</v>
      </c>
      <c r="E64" s="435">
        <v>1</v>
      </c>
      <c r="F64" s="435">
        <v>2</v>
      </c>
      <c r="G64" s="435">
        <v>2</v>
      </c>
      <c r="H64" s="435">
        <v>3</v>
      </c>
      <c r="I64" s="435"/>
      <c r="J64" s="435"/>
      <c r="K64" s="435">
        <v>1</v>
      </c>
      <c r="L64" s="435">
        <v>1</v>
      </c>
      <c r="M64" s="414">
        <f>$M$46</f>
        <v>2</v>
      </c>
      <c r="N64" s="425">
        <f>SUM(((I4/I6)*4.546)/(I7/Summary!N47))+(((I5/I6)*4.546)/(I7/Summary!N47))</f>
        <v>4.616311466666667</v>
      </c>
      <c r="Y64" s="1"/>
      <c r="Z64" s="1"/>
      <c r="AA64" s="1"/>
      <c r="AB64" s="1"/>
    </row>
    <row r="65" spans="1:28" ht="15.75">
      <c r="A65" s="408"/>
      <c r="B65" s="421" t="str">
        <f>B30</f>
        <v>Annual years 2 to 4 seed production</v>
      </c>
      <c r="C65" s="370"/>
      <c r="D65" s="422">
        <f>SUM(E65*$E$46)+(F65*$F$46)+(G65*$G$46)+(H65*$H$46)+(I65*$I$46)+(J65*$J$46)+(K65*$K$46)+(L65*$L$46)+M65+N65</f>
        <v>11.978615757575758</v>
      </c>
      <c r="E65" s="436"/>
      <c r="F65" s="436"/>
      <c r="G65" s="436"/>
      <c r="H65" s="436">
        <v>2</v>
      </c>
      <c r="I65" s="436"/>
      <c r="J65" s="436"/>
      <c r="K65" s="436">
        <v>1</v>
      </c>
      <c r="L65" s="436">
        <v>1</v>
      </c>
      <c r="M65" s="423">
        <f>$M$46</f>
        <v>2</v>
      </c>
      <c r="N65" s="437">
        <f>SUM(((I4/I6)*4.546)/(I7/Production!G22))+(((I5/I6)*4.546)/(I7/Production!G22))</f>
        <v>2.468615757575758</v>
      </c>
      <c r="Y65" s="1"/>
      <c r="Z65" s="1"/>
      <c r="AA65" s="1"/>
      <c r="AB65" s="1"/>
    </row>
    <row r="66" spans="1:28" ht="15.75">
      <c r="A66" s="418" t="str">
        <f>A31</f>
        <v>Birdsfoot Trefoil</v>
      </c>
      <c r="B66" s="424"/>
      <c r="C66" s="419"/>
      <c r="D66" s="431"/>
      <c r="E66" s="432"/>
      <c r="F66" s="432"/>
      <c r="G66" s="432"/>
      <c r="H66" s="432"/>
      <c r="I66" s="432"/>
      <c r="J66" s="432"/>
      <c r="K66" s="432"/>
      <c r="L66" s="432"/>
      <c r="M66" s="433"/>
      <c r="N66" s="438"/>
      <c r="Y66" s="1"/>
      <c r="Z66" s="1"/>
      <c r="AA66" s="1"/>
      <c r="AB66" s="1"/>
    </row>
    <row r="67" spans="1:28" ht="15.75">
      <c r="A67" s="420"/>
      <c r="B67" s="415" t="str">
        <f>B32</f>
        <v>Year 1 establishment - Wheat nurse crop</v>
      </c>
      <c r="C67" s="41"/>
      <c r="D67" s="413">
        <f>SUM(E67*$E$46)+(F67*$F$46)+(G67*$G$46)+(H67*$H$46)+(I67*$I$46)+(J67*$J$46)+(K67*$K$46)+(L67*$L$46)+M67+N67</f>
        <v>23.296311466666666</v>
      </c>
      <c r="E67" s="435">
        <v>1</v>
      </c>
      <c r="F67" s="435">
        <v>2</v>
      </c>
      <c r="G67" s="435">
        <v>2</v>
      </c>
      <c r="H67" s="435">
        <v>3</v>
      </c>
      <c r="I67" s="435"/>
      <c r="J67" s="435"/>
      <c r="K67" s="435">
        <v>1</v>
      </c>
      <c r="L67" s="435">
        <v>1</v>
      </c>
      <c r="M67" s="414">
        <f>$M$46</f>
        <v>2</v>
      </c>
      <c r="N67" s="425">
        <f>SUM(((I4/I6)*4.546)/(I7/Summary!P47))+(((I5/I6)*4.546)/(I7/Summary!P47))</f>
        <v>4.616311466666667</v>
      </c>
      <c r="Y67" s="1"/>
      <c r="Z67" s="1"/>
      <c r="AA67" s="1"/>
      <c r="AB67" s="1"/>
    </row>
    <row r="68" spans="1:28" ht="15.75">
      <c r="A68" s="408"/>
      <c r="B68" s="421" t="str">
        <f>B33</f>
        <v>Annual years 2 to 5 seed production</v>
      </c>
      <c r="C68" s="370"/>
      <c r="D68" s="422">
        <f>SUM(E68*$E$46)+(F68*$F$46)+(G68*$G$46)+(H68*$H$46)+(I68*$I$46)+(J68*$J$46)+(K68*$K$46)+(L68*$L$46)+M68+N68</f>
        <v>10.802579555555555</v>
      </c>
      <c r="E68" s="436"/>
      <c r="F68" s="436"/>
      <c r="G68" s="436"/>
      <c r="H68" s="436">
        <v>4</v>
      </c>
      <c r="I68" s="436"/>
      <c r="J68" s="436"/>
      <c r="K68" s="436">
        <v>1</v>
      </c>
      <c r="L68" s="436">
        <v>1</v>
      </c>
      <c r="M68" s="423">
        <f>$M$46</f>
        <v>2</v>
      </c>
      <c r="N68" s="437">
        <f>SUM(((I4/I6)*4.546)/(I7/Production!I22))+(((I5/I6)*4.546)/(I7/Production!I22))</f>
        <v>0.45257955555555557</v>
      </c>
      <c r="Y68" s="1"/>
      <c r="Z68" s="1"/>
      <c r="AA68" s="1"/>
      <c r="AB68" s="1"/>
    </row>
    <row r="69" spans="1:28" ht="15.75">
      <c r="A69" s="418" t="str">
        <f>A34</f>
        <v>Tall Fescue</v>
      </c>
      <c r="B69" s="424"/>
      <c r="C69" s="419"/>
      <c r="D69" s="431"/>
      <c r="E69" s="432"/>
      <c r="F69" s="432"/>
      <c r="G69" s="432"/>
      <c r="H69" s="432"/>
      <c r="I69" s="432"/>
      <c r="J69" s="432"/>
      <c r="K69" s="432"/>
      <c r="L69" s="432"/>
      <c r="M69" s="433"/>
      <c r="N69" s="438"/>
      <c r="Y69" s="1"/>
      <c r="Z69" s="1"/>
      <c r="AA69" s="1"/>
      <c r="AB69" s="1"/>
    </row>
    <row r="70" spans="1:28" ht="15.75">
      <c r="A70" s="420"/>
      <c r="B70" s="415" t="str">
        <f>B35</f>
        <v>Year 1 establishment - Wheat nurse crop</v>
      </c>
      <c r="C70" s="41"/>
      <c r="D70" s="413">
        <f>SUM(E70*$E$46)+(F70*$F$46)+(G70*$G$46)+(H70*$H$46)+(I70*$I$46)+(J70*$J$46)+(K70*$K$46)+(L70*$L$46)+M70+N70</f>
        <v>23.296311466666666</v>
      </c>
      <c r="E70" s="435">
        <v>1</v>
      </c>
      <c r="F70" s="435">
        <v>2</v>
      </c>
      <c r="G70" s="435">
        <v>2</v>
      </c>
      <c r="H70" s="435">
        <v>3</v>
      </c>
      <c r="I70" s="435"/>
      <c r="J70" s="435"/>
      <c r="K70" s="435">
        <v>1</v>
      </c>
      <c r="L70" s="435">
        <v>1</v>
      </c>
      <c r="M70" s="414">
        <f>$M$46</f>
        <v>2</v>
      </c>
      <c r="N70" s="425">
        <f>SUM(((I4/I6)*4.546)/(I7/Summary!R47))+(((I5/I6)*4.546)/(I7/Summary!R47))</f>
        <v>4.616311466666667</v>
      </c>
      <c r="Y70" s="1"/>
      <c r="Z70" s="1"/>
      <c r="AA70" s="1"/>
      <c r="AB70" s="1"/>
    </row>
    <row r="71" spans="1:28" ht="15.75">
      <c r="A71" s="420"/>
      <c r="B71" s="415" t="str">
        <f>B36</f>
        <v>Year 1 establishment - no nurse crop</v>
      </c>
      <c r="C71" s="41"/>
      <c r="D71" s="413">
        <f>SUM(E71*$E$46)+(F71*$F$46)+(G71*$G$46)+(H71*$H$46)+(I71*$I$46)+(J71*$J$46)+(K71*$K$46)+(L71*$L$46)+M71+N71</f>
        <v>10.28</v>
      </c>
      <c r="E71" s="435">
        <v>1</v>
      </c>
      <c r="F71" s="435">
        <v>2</v>
      </c>
      <c r="G71" s="435">
        <v>1</v>
      </c>
      <c r="H71" s="435">
        <v>2</v>
      </c>
      <c r="I71" s="435">
        <v>1</v>
      </c>
      <c r="J71" s="435">
        <v>1</v>
      </c>
      <c r="K71" s="435"/>
      <c r="L71" s="435"/>
      <c r="M71" s="414">
        <f>$M$46</f>
        <v>2</v>
      </c>
      <c r="N71" s="425"/>
      <c r="Y71" s="1"/>
      <c r="Z71" s="1"/>
      <c r="AA71" s="1"/>
      <c r="AB71" s="1"/>
    </row>
    <row r="72" spans="1:28" ht="15.75">
      <c r="A72" s="408"/>
      <c r="B72" s="421" t="str">
        <f>B37</f>
        <v>Annual years 2 to 4 seed production</v>
      </c>
      <c r="C72" s="370"/>
      <c r="D72" s="422">
        <f>SUM(E72*$E$46)+(F72*$F$46)+(G72*$G$46)+(H72*$H$46)+(I72*$I$46)+(J72*$J$46)+(K72*$K$46)+(L72*$L$46)+M72+N72</f>
        <v>13.583216</v>
      </c>
      <c r="E72" s="436"/>
      <c r="F72" s="436"/>
      <c r="G72" s="436"/>
      <c r="H72" s="436">
        <v>2</v>
      </c>
      <c r="I72" s="436"/>
      <c r="J72" s="436"/>
      <c r="K72" s="436">
        <v>1</v>
      </c>
      <c r="L72" s="436">
        <v>1</v>
      </c>
      <c r="M72" s="423">
        <f>$M$46</f>
        <v>2</v>
      </c>
      <c r="N72" s="437">
        <f>SUM(((I4/I6)*4.546)/(I7/Production!K22))+(((I5/I6)*4.546)/(I7/Production!K22))</f>
        <v>4.073216</v>
      </c>
      <c r="Y72" s="1"/>
      <c r="Z72" s="1"/>
      <c r="AA72" s="1"/>
      <c r="AB72" s="1"/>
    </row>
  </sheetData>
  <sheetProtection password="C6A6" sheet="1"/>
  <mergeCells count="16">
    <mergeCell ref="K44:K45"/>
    <mergeCell ref="L44:L45"/>
    <mergeCell ref="M44:M45"/>
    <mergeCell ref="N44:N45"/>
    <mergeCell ref="E44:E45"/>
    <mergeCell ref="F44:F45"/>
    <mergeCell ref="G44:G45"/>
    <mergeCell ref="H44:H45"/>
    <mergeCell ref="I44:I45"/>
    <mergeCell ref="J44:J45"/>
    <mergeCell ref="A1:N1"/>
    <mergeCell ref="E9:N9"/>
    <mergeCell ref="I10:N10"/>
    <mergeCell ref="A41:N41"/>
    <mergeCell ref="E43:L43"/>
    <mergeCell ref="M43:N43"/>
  </mergeCells>
  <printOptions/>
  <pageMargins left="0.35433070866141736" right="0.35433070866141736" top="0.984251968503937" bottom="0.984251968503937" header="0.5118110236220472" footer="0.5118110236220472"/>
  <pageSetup firstPageNumber="8" useFirstPageNumber="1" fitToHeight="1" fitToWidth="1" horizontalDpi="300" verticalDpi="300" orientation="portrait" scale="58" r:id="rId3"/>
  <headerFooter scaleWithDoc="0" alignWithMargins="0">
    <oddHeader>&amp;L&amp;8Guidelines: Forage Seed Production Costs
&amp;R&amp;8&amp;P</oddHeader>
    <oddFooter>&amp;R&amp;9Manitoba Agriculture, Food and Rural Development</oddFooter>
  </headerFooter>
  <legacyDrawing r:id="rId2"/>
</worksheet>
</file>

<file path=xl/worksheets/sheet7.xml><?xml version="1.0" encoding="utf-8"?>
<worksheet xmlns="http://schemas.openxmlformats.org/spreadsheetml/2006/main" xmlns:r="http://schemas.openxmlformats.org/officeDocument/2006/relationships">
  <sheetPr codeName="Sheet11">
    <pageSetUpPr fitToPage="1"/>
  </sheetPr>
  <dimension ref="A1:S65"/>
  <sheetViews>
    <sheetView zoomScale="90" zoomScaleNormal="90" workbookViewId="0" topLeftCell="A1">
      <selection activeCell="A1" sqref="A1:J1"/>
    </sheetView>
  </sheetViews>
  <sheetFormatPr defaultColWidth="10.28125" defaultRowHeight="12.75"/>
  <cols>
    <col min="1" max="1" width="2.421875" style="295" customWidth="1"/>
    <col min="2" max="2" width="32.8515625" style="295" customWidth="1"/>
    <col min="3" max="3" width="12.7109375" style="295" customWidth="1"/>
    <col min="4" max="4" width="10.7109375" style="295" customWidth="1"/>
    <col min="5" max="5" width="12.7109375" style="295" customWidth="1"/>
    <col min="6" max="6" width="3.57421875" style="295" customWidth="1"/>
    <col min="7" max="7" width="32.7109375" style="295" customWidth="1"/>
    <col min="8" max="8" width="12.7109375" style="295" customWidth="1"/>
    <col min="9" max="9" width="11.140625" style="295" customWidth="1"/>
    <col min="10" max="10" width="12.7109375" style="295" customWidth="1"/>
    <col min="11" max="17" width="10.28125" style="295" customWidth="1"/>
    <col min="18" max="16384" width="10.28125" style="118" customWidth="1"/>
  </cols>
  <sheetData>
    <row r="1" spans="1:10" ht="24" customHeight="1">
      <c r="A1" s="529" t="s">
        <v>51</v>
      </c>
      <c r="B1" s="529"/>
      <c r="C1" s="529"/>
      <c r="D1" s="529"/>
      <c r="E1" s="529"/>
      <c r="F1" s="529"/>
      <c r="G1" s="529"/>
      <c r="H1" s="529"/>
      <c r="I1" s="529"/>
      <c r="J1" s="529"/>
    </row>
    <row r="3" spans="2:9" ht="15.75">
      <c r="B3" s="295" t="s">
        <v>276</v>
      </c>
      <c r="C3" s="371"/>
      <c r="D3" s="442">
        <v>2150</v>
      </c>
      <c r="E3" s="371"/>
      <c r="F3" s="371"/>
      <c r="G3" s="371" t="s">
        <v>277</v>
      </c>
      <c r="H3" s="371"/>
      <c r="I3" s="443">
        <f>ROUND((D3*(D6)),2)</f>
        <v>53.75</v>
      </c>
    </row>
    <row r="4" spans="2:19" ht="15.75">
      <c r="B4" s="295" t="s">
        <v>318</v>
      </c>
      <c r="C4" s="371"/>
      <c r="D4" s="444">
        <v>2000</v>
      </c>
      <c r="E4" s="371"/>
      <c r="F4" s="371"/>
      <c r="G4" s="146" t="s">
        <v>278</v>
      </c>
      <c r="H4" s="371"/>
      <c r="I4" s="445">
        <f>D37</f>
        <v>444.0625</v>
      </c>
      <c r="M4" s="372"/>
      <c r="N4" s="372"/>
      <c r="R4" s="295"/>
      <c r="S4" s="295"/>
    </row>
    <row r="5" spans="2:19" ht="15.75">
      <c r="B5" s="295" t="s">
        <v>52</v>
      </c>
      <c r="C5" s="371"/>
      <c r="D5" s="446">
        <v>0.1</v>
      </c>
      <c r="E5" s="371"/>
      <c r="F5" s="371"/>
      <c r="G5" s="371"/>
      <c r="H5" s="371"/>
      <c r="I5" s="371"/>
      <c r="L5" s="373"/>
      <c r="M5" s="373"/>
      <c r="N5" s="373"/>
      <c r="O5" s="373"/>
      <c r="R5" s="295"/>
      <c r="S5" s="295"/>
    </row>
    <row r="6" spans="2:13" ht="15.75">
      <c r="B6" s="295" t="s">
        <v>53</v>
      </c>
      <c r="C6" s="371"/>
      <c r="D6" s="56">
        <v>0.025</v>
      </c>
      <c r="E6" s="371"/>
      <c r="F6" s="371"/>
      <c r="G6" s="371" t="s">
        <v>279</v>
      </c>
      <c r="H6" s="371"/>
      <c r="I6" s="443">
        <f>(D5)*I4</f>
        <v>44.40625</v>
      </c>
      <c r="J6" s="373"/>
      <c r="K6" s="373"/>
      <c r="L6" s="373"/>
      <c r="M6" s="373"/>
    </row>
    <row r="7" spans="3:18" ht="15.75">
      <c r="C7" s="371"/>
      <c r="D7" s="371"/>
      <c r="E7" s="371"/>
      <c r="F7" s="371"/>
      <c r="G7" s="371" t="s">
        <v>280</v>
      </c>
      <c r="H7" s="371"/>
      <c r="I7" s="443">
        <f>(D6)*I4</f>
        <v>11.1015625</v>
      </c>
      <c r="K7" s="373"/>
      <c r="L7" s="373"/>
      <c r="M7" s="373"/>
      <c r="N7" s="373"/>
      <c r="R7" s="295"/>
    </row>
    <row r="8" spans="2:13" ht="15.75">
      <c r="B8" s="16" t="s">
        <v>281</v>
      </c>
      <c r="C8" s="447" t="s">
        <v>282</v>
      </c>
      <c r="D8" s="447" t="s">
        <v>2</v>
      </c>
      <c r="E8" s="72"/>
      <c r="F8" s="371"/>
      <c r="G8" s="371" t="s">
        <v>283</v>
      </c>
      <c r="H8" s="371"/>
      <c r="I8" s="448">
        <f>D64</f>
        <v>3.6</v>
      </c>
      <c r="J8" s="373"/>
      <c r="K8" s="373"/>
      <c r="L8" s="373"/>
      <c r="M8" s="373"/>
    </row>
    <row r="9" spans="2:13" ht="15.75">
      <c r="B9" s="9" t="s">
        <v>284</v>
      </c>
      <c r="C9" s="449">
        <v>0.1</v>
      </c>
      <c r="D9" s="258">
        <v>1.85</v>
      </c>
      <c r="E9" s="72" t="s">
        <v>8</v>
      </c>
      <c r="F9" s="371"/>
      <c r="G9" s="371"/>
      <c r="H9" s="450" t="s">
        <v>285</v>
      </c>
      <c r="I9" s="443">
        <f>SUM(I6:I8)</f>
        <v>59.1078125</v>
      </c>
      <c r="J9" s="373"/>
      <c r="K9" s="373"/>
      <c r="L9" s="373"/>
      <c r="M9" s="373"/>
    </row>
    <row r="10" spans="2:13" ht="15.75">
      <c r="B10" s="9" t="s">
        <v>286</v>
      </c>
      <c r="C10" s="449">
        <v>0.9</v>
      </c>
      <c r="D10" s="258">
        <v>2.35</v>
      </c>
      <c r="E10" s="72" t="s">
        <v>8</v>
      </c>
      <c r="F10" s="371"/>
      <c r="G10" s="371"/>
      <c r="H10" s="451"/>
      <c r="I10" s="371"/>
      <c r="J10" s="373"/>
      <c r="K10" s="373"/>
      <c r="L10" s="373"/>
      <c r="M10" s="373"/>
    </row>
    <row r="11" ht="15">
      <c r="H11" s="375"/>
    </row>
    <row r="12" spans="1:18" s="379" customFormat="1" ht="18" customHeight="1">
      <c r="A12" s="530" t="s">
        <v>287</v>
      </c>
      <c r="B12" s="530"/>
      <c r="C12" s="530"/>
      <c r="D12" s="530"/>
      <c r="E12" s="530"/>
      <c r="F12" s="530"/>
      <c r="G12" s="530"/>
      <c r="H12" s="530"/>
      <c r="I12" s="530"/>
      <c r="J12" s="530"/>
      <c r="K12" s="376"/>
      <c r="L12" s="377"/>
      <c r="M12" s="377"/>
      <c r="N12" s="377"/>
      <c r="O12" s="378"/>
      <c r="P12" s="378"/>
      <c r="Q12" s="378"/>
      <c r="R12" s="378"/>
    </row>
    <row r="13" spans="1:19" s="382" customFormat="1" ht="18" customHeight="1">
      <c r="A13" s="380"/>
      <c r="B13" s="380"/>
      <c r="C13" s="380" t="s">
        <v>288</v>
      </c>
      <c r="D13" s="380" t="s">
        <v>3</v>
      </c>
      <c r="E13" s="380" t="s">
        <v>3</v>
      </c>
      <c r="F13" s="380"/>
      <c r="G13" s="380"/>
      <c r="H13" s="380" t="s">
        <v>288</v>
      </c>
      <c r="I13" s="380" t="s">
        <v>3</v>
      </c>
      <c r="J13" s="380" t="s">
        <v>3</v>
      </c>
      <c r="K13" s="380"/>
      <c r="L13" s="380"/>
      <c r="M13" s="380"/>
      <c r="N13" s="380"/>
      <c r="O13" s="380"/>
      <c r="P13" s="381"/>
      <c r="Q13" s="381"/>
      <c r="R13" s="381"/>
      <c r="S13" s="381"/>
    </row>
    <row r="14" spans="1:18" s="379" customFormat="1" ht="18">
      <c r="A14" s="383" t="s">
        <v>289</v>
      </c>
      <c r="B14" s="384"/>
      <c r="C14" s="385" t="s">
        <v>54</v>
      </c>
      <c r="D14" s="383" t="s">
        <v>282</v>
      </c>
      <c r="E14" s="385" t="s">
        <v>290</v>
      </c>
      <c r="F14" s="385"/>
      <c r="G14" s="383" t="s">
        <v>291</v>
      </c>
      <c r="H14" s="385" t="s">
        <v>54</v>
      </c>
      <c r="I14" s="383" t="s">
        <v>282</v>
      </c>
      <c r="J14" s="385" t="s">
        <v>290</v>
      </c>
      <c r="K14" s="295"/>
      <c r="L14" s="295"/>
      <c r="M14" s="378"/>
      <c r="N14" s="378"/>
      <c r="O14" s="378"/>
      <c r="P14" s="378"/>
      <c r="Q14" s="378"/>
      <c r="R14" s="378"/>
    </row>
    <row r="15" spans="1:18" s="379" customFormat="1" ht="18" customHeight="1">
      <c r="A15" s="295"/>
      <c r="B15" s="386" t="s">
        <v>292</v>
      </c>
      <c r="C15" s="387">
        <v>175000</v>
      </c>
      <c r="D15" s="388">
        <v>1</v>
      </c>
      <c r="E15" s="389">
        <f>SUM(C15*D15)</f>
        <v>175000</v>
      </c>
      <c r="F15" s="389"/>
      <c r="G15" s="386" t="s">
        <v>293</v>
      </c>
      <c r="H15" s="387">
        <v>200000</v>
      </c>
      <c r="I15" s="388">
        <v>1</v>
      </c>
      <c r="J15" s="389">
        <f>SUM(H15*I15)</f>
        <v>200000</v>
      </c>
      <c r="K15" s="295"/>
      <c r="L15" s="295"/>
      <c r="M15" s="378"/>
      <c r="N15" s="378"/>
      <c r="O15" s="378"/>
      <c r="P15" s="378"/>
      <c r="Q15" s="378"/>
      <c r="R15" s="378"/>
    </row>
    <row r="16" spans="1:18" s="379" customFormat="1" ht="18" customHeight="1">
      <c r="A16" s="295"/>
      <c r="B16" s="386" t="s">
        <v>294</v>
      </c>
      <c r="C16" s="387">
        <v>50000</v>
      </c>
      <c r="D16" s="388">
        <v>1</v>
      </c>
      <c r="E16" s="389">
        <f aca="true" t="shared" si="0" ref="E16:E22">SUM(C16*D16)</f>
        <v>50000</v>
      </c>
      <c r="F16" s="389"/>
      <c r="G16" s="386" t="s">
        <v>295</v>
      </c>
      <c r="H16" s="387">
        <v>75000</v>
      </c>
      <c r="I16" s="388">
        <v>1</v>
      </c>
      <c r="J16" s="389">
        <f aca="true" t="shared" si="1" ref="J16:J22">SUM(H16*I16)</f>
        <v>75000</v>
      </c>
      <c r="K16" s="295"/>
      <c r="L16" s="295"/>
      <c r="M16" s="378"/>
      <c r="N16" s="378"/>
      <c r="O16" s="378"/>
      <c r="P16" s="378"/>
      <c r="Q16" s="378"/>
      <c r="R16" s="378"/>
    </row>
    <row r="17" spans="1:18" s="379" customFormat="1" ht="18" customHeight="1">
      <c r="A17" s="295"/>
      <c r="B17" s="386" t="s">
        <v>296</v>
      </c>
      <c r="C17" s="387">
        <v>20000</v>
      </c>
      <c r="D17" s="388">
        <v>0.75</v>
      </c>
      <c r="E17" s="389">
        <f t="shared" si="0"/>
        <v>15000</v>
      </c>
      <c r="F17" s="389"/>
      <c r="G17" s="386" t="s">
        <v>297</v>
      </c>
      <c r="H17" s="387">
        <v>10000</v>
      </c>
      <c r="I17" s="388">
        <v>1</v>
      </c>
      <c r="J17" s="389">
        <f t="shared" si="1"/>
        <v>10000</v>
      </c>
      <c r="K17" s="295"/>
      <c r="L17" s="295"/>
      <c r="M17" s="378"/>
      <c r="N17" s="378"/>
      <c r="O17" s="378"/>
      <c r="P17" s="378"/>
      <c r="Q17" s="378"/>
      <c r="R17" s="378"/>
    </row>
    <row r="18" spans="1:18" s="379" customFormat="1" ht="18" customHeight="1">
      <c r="A18" s="295"/>
      <c r="B18" s="386" t="s">
        <v>298</v>
      </c>
      <c r="C18" s="387">
        <v>3500</v>
      </c>
      <c r="D18" s="388">
        <v>0.75</v>
      </c>
      <c r="E18" s="389">
        <f t="shared" si="0"/>
        <v>2625</v>
      </c>
      <c r="F18" s="389"/>
      <c r="G18" s="386" t="s">
        <v>299</v>
      </c>
      <c r="H18" s="387">
        <v>4000</v>
      </c>
      <c r="I18" s="388">
        <v>1</v>
      </c>
      <c r="J18" s="389">
        <f t="shared" si="1"/>
        <v>4000</v>
      </c>
      <c r="K18" s="295"/>
      <c r="L18" s="295"/>
      <c r="M18" s="378"/>
      <c r="N18" s="378"/>
      <c r="O18" s="378"/>
      <c r="P18" s="378"/>
      <c r="Q18" s="378"/>
      <c r="R18" s="378"/>
    </row>
    <row r="19" spans="1:18" s="379" customFormat="1" ht="18" customHeight="1">
      <c r="A19" s="295"/>
      <c r="B19" s="386"/>
      <c r="C19" s="387">
        <v>0</v>
      </c>
      <c r="D19" s="388">
        <v>0</v>
      </c>
      <c r="E19" s="389">
        <f t="shared" si="0"/>
        <v>0</v>
      </c>
      <c r="F19" s="389"/>
      <c r="G19" s="386"/>
      <c r="H19" s="387">
        <v>0</v>
      </c>
      <c r="I19" s="388">
        <v>0</v>
      </c>
      <c r="J19" s="389">
        <f t="shared" si="1"/>
        <v>0</v>
      </c>
      <c r="K19" s="295"/>
      <c r="L19" s="295"/>
      <c r="M19" s="378"/>
      <c r="N19" s="378"/>
      <c r="O19" s="378"/>
      <c r="P19" s="378"/>
      <c r="Q19" s="378"/>
      <c r="R19" s="378"/>
    </row>
    <row r="20" spans="1:18" s="379" customFormat="1" ht="18" customHeight="1">
      <c r="A20" s="295"/>
      <c r="B20" s="386"/>
      <c r="C20" s="387">
        <v>0</v>
      </c>
      <c r="D20" s="388">
        <v>0</v>
      </c>
      <c r="E20" s="389">
        <f t="shared" si="0"/>
        <v>0</v>
      </c>
      <c r="F20" s="389"/>
      <c r="G20" s="386"/>
      <c r="H20" s="387">
        <v>0</v>
      </c>
      <c r="I20" s="388">
        <v>0</v>
      </c>
      <c r="J20" s="389">
        <f t="shared" si="1"/>
        <v>0</v>
      </c>
      <c r="K20" s="295"/>
      <c r="L20" s="295"/>
      <c r="M20" s="378"/>
      <c r="N20" s="378"/>
      <c r="O20" s="378"/>
      <c r="P20" s="378"/>
      <c r="Q20" s="378"/>
      <c r="R20" s="378"/>
    </row>
    <row r="21" spans="1:18" s="379" customFormat="1" ht="18" customHeight="1">
      <c r="A21" s="295"/>
      <c r="B21" s="386"/>
      <c r="C21" s="387">
        <v>0</v>
      </c>
      <c r="D21" s="388">
        <v>0</v>
      </c>
      <c r="E21" s="389">
        <f t="shared" si="0"/>
        <v>0</v>
      </c>
      <c r="F21" s="389"/>
      <c r="G21" s="386"/>
      <c r="H21" s="387">
        <v>0</v>
      </c>
      <c r="I21" s="388">
        <v>0</v>
      </c>
      <c r="J21" s="389">
        <f t="shared" si="1"/>
        <v>0</v>
      </c>
      <c r="K21" s="295"/>
      <c r="L21" s="295"/>
      <c r="M21" s="378"/>
      <c r="N21" s="378"/>
      <c r="O21" s="378"/>
      <c r="P21" s="378"/>
      <c r="Q21" s="378"/>
      <c r="R21" s="378"/>
    </row>
    <row r="22" spans="1:18" s="379" customFormat="1" ht="18" customHeight="1">
      <c r="A22" s="295"/>
      <c r="B22" s="390"/>
      <c r="C22" s="391">
        <v>0</v>
      </c>
      <c r="D22" s="392">
        <v>0</v>
      </c>
      <c r="E22" s="393">
        <f t="shared" si="0"/>
        <v>0</v>
      </c>
      <c r="F22" s="394"/>
      <c r="G22" s="390"/>
      <c r="H22" s="391">
        <v>0</v>
      </c>
      <c r="I22" s="392">
        <v>0</v>
      </c>
      <c r="J22" s="393">
        <f t="shared" si="1"/>
        <v>0</v>
      </c>
      <c r="K22" s="295"/>
      <c r="L22" s="295"/>
      <c r="M22" s="378"/>
      <c r="N22" s="378"/>
      <c r="O22" s="378"/>
      <c r="P22" s="378"/>
      <c r="Q22" s="378"/>
      <c r="R22" s="378"/>
    </row>
    <row r="23" spans="1:18" s="379" customFormat="1" ht="18">
      <c r="A23" s="295"/>
      <c r="B23" s="374" t="s">
        <v>15</v>
      </c>
      <c r="C23" s="389"/>
      <c r="D23" s="389"/>
      <c r="E23" s="389">
        <f>SUM(E15:E22)</f>
        <v>242625</v>
      </c>
      <c r="F23" s="389"/>
      <c r="G23" s="374" t="s">
        <v>15</v>
      </c>
      <c r="H23" s="395"/>
      <c r="I23" s="389"/>
      <c r="J23" s="389">
        <f>SUM(J15:J22)</f>
        <v>289000</v>
      </c>
      <c r="K23" s="295"/>
      <c r="L23" s="295"/>
      <c r="M23" s="378"/>
      <c r="N23" s="378"/>
      <c r="O23" s="378"/>
      <c r="P23" s="378"/>
      <c r="Q23" s="378"/>
      <c r="R23" s="378"/>
    </row>
    <row r="24" spans="1:18" s="379" customFormat="1" ht="18">
      <c r="A24" s="295"/>
      <c r="B24" s="374"/>
      <c r="C24" s="389"/>
      <c r="D24" s="389"/>
      <c r="E24" s="389"/>
      <c r="F24" s="389"/>
      <c r="G24" s="384"/>
      <c r="H24" s="394"/>
      <c r="I24" s="389"/>
      <c r="J24" s="389"/>
      <c r="K24" s="295"/>
      <c r="L24" s="295"/>
      <c r="M24" s="378"/>
      <c r="N24" s="378"/>
      <c r="O24" s="378"/>
      <c r="P24" s="378"/>
      <c r="Q24" s="378"/>
      <c r="R24" s="378"/>
    </row>
    <row r="25" spans="1:18" s="379" customFormat="1" ht="18">
      <c r="A25" s="295"/>
      <c r="B25" s="295"/>
      <c r="C25" s="380" t="s">
        <v>288</v>
      </c>
      <c r="D25" s="380" t="s">
        <v>3</v>
      </c>
      <c r="E25" s="380" t="s">
        <v>3</v>
      </c>
      <c r="F25" s="295"/>
      <c r="G25" s="295"/>
      <c r="H25" s="380" t="s">
        <v>288</v>
      </c>
      <c r="I25" s="380" t="s">
        <v>3</v>
      </c>
      <c r="J25" s="380" t="s">
        <v>3</v>
      </c>
      <c r="K25" s="295"/>
      <c r="L25" s="295"/>
      <c r="M25" s="378"/>
      <c r="N25" s="378"/>
      <c r="O25" s="378"/>
      <c r="P25" s="378"/>
      <c r="Q25" s="378"/>
      <c r="R25" s="378"/>
    </row>
    <row r="26" spans="1:18" s="379" customFormat="1" ht="18">
      <c r="A26" s="383" t="s">
        <v>300</v>
      </c>
      <c r="B26" s="384"/>
      <c r="C26" s="385" t="s">
        <v>54</v>
      </c>
      <c r="D26" s="383" t="s">
        <v>282</v>
      </c>
      <c r="E26" s="385" t="s">
        <v>290</v>
      </c>
      <c r="F26" s="295"/>
      <c r="G26" s="383" t="s">
        <v>301</v>
      </c>
      <c r="H26" s="385" t="s">
        <v>54</v>
      </c>
      <c r="I26" s="383" t="s">
        <v>282</v>
      </c>
      <c r="J26" s="385" t="s">
        <v>290</v>
      </c>
      <c r="K26" s="295"/>
      <c r="L26" s="295"/>
      <c r="M26" s="378"/>
      <c r="N26" s="378"/>
      <c r="O26" s="378"/>
      <c r="P26" s="378"/>
      <c r="Q26" s="378"/>
      <c r="R26" s="378"/>
    </row>
    <row r="27" spans="1:18" s="379" customFormat="1" ht="18" customHeight="1">
      <c r="A27" s="295"/>
      <c r="B27" s="386" t="s">
        <v>302</v>
      </c>
      <c r="C27" s="387">
        <v>25000</v>
      </c>
      <c r="D27" s="388">
        <v>1</v>
      </c>
      <c r="E27" s="389">
        <f>SUM(C27*D27)</f>
        <v>25000</v>
      </c>
      <c r="F27" s="384"/>
      <c r="G27" s="386" t="s">
        <v>303</v>
      </c>
      <c r="H27" s="387">
        <v>50000</v>
      </c>
      <c r="I27" s="388">
        <v>1</v>
      </c>
      <c r="J27" s="389">
        <f>SUM(H27*I27)</f>
        <v>50000</v>
      </c>
      <c r="K27" s="295"/>
      <c r="L27" s="295"/>
      <c r="M27" s="378"/>
      <c r="N27" s="378"/>
      <c r="O27" s="378"/>
      <c r="P27" s="378"/>
      <c r="Q27" s="378"/>
      <c r="R27" s="378"/>
    </row>
    <row r="28" spans="1:18" s="379" customFormat="1" ht="18" customHeight="1">
      <c r="A28" s="295"/>
      <c r="B28" s="386" t="s">
        <v>304</v>
      </c>
      <c r="C28" s="387">
        <v>35000</v>
      </c>
      <c r="D28" s="388">
        <v>1</v>
      </c>
      <c r="E28" s="389">
        <f aca="true" t="shared" si="2" ref="E28:E34">SUM(C28*D28)</f>
        <v>35000</v>
      </c>
      <c r="F28" s="384"/>
      <c r="G28" s="386" t="s">
        <v>305</v>
      </c>
      <c r="H28" s="387">
        <v>6000</v>
      </c>
      <c r="I28" s="388">
        <v>0</v>
      </c>
      <c r="J28" s="389">
        <f aca="true" t="shared" si="3" ref="J28:J34">SUM(H28*I28)</f>
        <v>0</v>
      </c>
      <c r="K28" s="295"/>
      <c r="L28" s="295"/>
      <c r="M28" s="378"/>
      <c r="N28" s="378"/>
      <c r="O28" s="378"/>
      <c r="P28" s="378"/>
      <c r="Q28" s="378"/>
      <c r="R28" s="378"/>
    </row>
    <row r="29" spans="1:18" s="379" customFormat="1" ht="18" customHeight="1">
      <c r="A29" s="295"/>
      <c r="B29" s="386" t="s">
        <v>306</v>
      </c>
      <c r="C29" s="387">
        <v>40000</v>
      </c>
      <c r="D29" s="388">
        <v>1</v>
      </c>
      <c r="E29" s="389">
        <f t="shared" si="2"/>
        <v>40000</v>
      </c>
      <c r="F29" s="384"/>
      <c r="G29" s="386" t="s">
        <v>307</v>
      </c>
      <c r="H29" s="387">
        <v>10000</v>
      </c>
      <c r="I29" s="388">
        <v>0</v>
      </c>
      <c r="J29" s="389">
        <f t="shared" si="3"/>
        <v>0</v>
      </c>
      <c r="K29" s="295"/>
      <c r="L29" s="295"/>
      <c r="M29" s="378"/>
      <c r="N29" s="378"/>
      <c r="O29" s="378"/>
      <c r="P29" s="378"/>
      <c r="Q29" s="378"/>
      <c r="R29" s="378"/>
    </row>
    <row r="30" spans="1:18" s="379" customFormat="1" ht="18" customHeight="1">
      <c r="A30" s="295"/>
      <c r="B30" s="386" t="s">
        <v>308</v>
      </c>
      <c r="C30" s="387">
        <v>100000</v>
      </c>
      <c r="D30" s="388">
        <v>1</v>
      </c>
      <c r="E30" s="389">
        <f t="shared" si="2"/>
        <v>100000</v>
      </c>
      <c r="F30" s="384"/>
      <c r="G30" s="386"/>
      <c r="H30" s="387">
        <v>0</v>
      </c>
      <c r="I30" s="388">
        <v>0</v>
      </c>
      <c r="J30" s="389">
        <f t="shared" si="3"/>
        <v>0</v>
      </c>
      <c r="K30" s="295"/>
      <c r="L30" s="295"/>
      <c r="M30" s="378"/>
      <c r="N30" s="378"/>
      <c r="O30" s="378"/>
      <c r="P30" s="378"/>
      <c r="Q30" s="378"/>
      <c r="R30" s="378"/>
    </row>
    <row r="31" spans="1:18" s="379" customFormat="1" ht="18" customHeight="1">
      <c r="A31" s="295"/>
      <c r="B31" s="386" t="s">
        <v>181</v>
      </c>
      <c r="C31" s="387">
        <v>100000</v>
      </c>
      <c r="D31" s="388">
        <v>1</v>
      </c>
      <c r="E31" s="389">
        <f t="shared" si="2"/>
        <v>100000</v>
      </c>
      <c r="F31" s="384"/>
      <c r="G31" s="386"/>
      <c r="H31" s="387">
        <v>0</v>
      </c>
      <c r="I31" s="388">
        <v>0</v>
      </c>
      <c r="J31" s="389">
        <f t="shared" si="3"/>
        <v>0</v>
      </c>
      <c r="K31" s="295"/>
      <c r="L31" s="295"/>
      <c r="M31" s="378"/>
      <c r="N31" s="378"/>
      <c r="O31" s="378"/>
      <c r="P31" s="378"/>
      <c r="Q31" s="378"/>
      <c r="R31" s="378"/>
    </row>
    <row r="32" spans="1:18" s="379" customFormat="1" ht="18" customHeight="1">
      <c r="A32" s="295"/>
      <c r="B32" s="386" t="s">
        <v>309</v>
      </c>
      <c r="C32" s="387">
        <v>4000</v>
      </c>
      <c r="D32" s="388">
        <v>1</v>
      </c>
      <c r="E32" s="389">
        <f t="shared" si="2"/>
        <v>4000</v>
      </c>
      <c r="F32" s="384"/>
      <c r="G32" s="386"/>
      <c r="H32" s="387">
        <v>0</v>
      </c>
      <c r="I32" s="388">
        <v>0</v>
      </c>
      <c r="J32" s="389">
        <f t="shared" si="3"/>
        <v>0</v>
      </c>
      <c r="K32" s="295"/>
      <c r="L32" s="295"/>
      <c r="M32" s="378"/>
      <c r="N32" s="378"/>
      <c r="O32" s="378"/>
      <c r="P32" s="378"/>
      <c r="Q32" s="378"/>
      <c r="R32" s="378"/>
    </row>
    <row r="33" spans="1:18" s="379" customFormat="1" ht="18" customHeight="1">
      <c r="A33" s="295"/>
      <c r="B33" s="386" t="s">
        <v>310</v>
      </c>
      <c r="C33" s="387">
        <v>2500</v>
      </c>
      <c r="D33" s="388">
        <v>1</v>
      </c>
      <c r="E33" s="389">
        <f t="shared" si="2"/>
        <v>2500</v>
      </c>
      <c r="F33" s="384"/>
      <c r="G33" s="386"/>
      <c r="H33" s="387">
        <v>0</v>
      </c>
      <c r="I33" s="388">
        <v>0</v>
      </c>
      <c r="J33" s="389">
        <f t="shared" si="3"/>
        <v>0</v>
      </c>
      <c r="K33" s="295"/>
      <c r="L33" s="295"/>
      <c r="M33" s="378"/>
      <c r="N33" s="378"/>
      <c r="O33" s="378"/>
      <c r="P33" s="378"/>
      <c r="Q33" s="378"/>
      <c r="R33" s="378"/>
    </row>
    <row r="34" spans="1:18" s="379" customFormat="1" ht="18" customHeight="1">
      <c r="A34" s="295"/>
      <c r="B34" s="390"/>
      <c r="C34" s="391">
        <v>0</v>
      </c>
      <c r="D34" s="392">
        <v>0</v>
      </c>
      <c r="E34" s="393">
        <f t="shared" si="2"/>
        <v>0</v>
      </c>
      <c r="F34" s="396"/>
      <c r="G34" s="390"/>
      <c r="H34" s="391">
        <v>0</v>
      </c>
      <c r="I34" s="392">
        <v>0</v>
      </c>
      <c r="J34" s="393">
        <f t="shared" si="3"/>
        <v>0</v>
      </c>
      <c r="K34" s="295"/>
      <c r="L34" s="295"/>
      <c r="M34" s="378"/>
      <c r="N34" s="378"/>
      <c r="O34" s="378"/>
      <c r="P34" s="378"/>
      <c r="Q34" s="378"/>
      <c r="R34" s="378"/>
    </row>
    <row r="35" spans="1:18" s="379" customFormat="1" ht="18">
      <c r="A35" s="295"/>
      <c r="B35" s="374" t="s">
        <v>15</v>
      </c>
      <c r="C35" s="389">
        <f>SUM(C27:C34)</f>
        <v>306500</v>
      </c>
      <c r="D35" s="389"/>
      <c r="E35" s="389">
        <f>SUM(E27:E34)</f>
        <v>306500</v>
      </c>
      <c r="F35" s="389"/>
      <c r="G35" s="397" t="s">
        <v>15</v>
      </c>
      <c r="H35" s="395"/>
      <c r="I35" s="389"/>
      <c r="J35" s="389">
        <f>SUM(J27:J34)</f>
        <v>50000</v>
      </c>
      <c r="K35" s="295"/>
      <c r="L35" s="295"/>
      <c r="M35" s="378"/>
      <c r="N35" s="378"/>
      <c r="O35" s="378"/>
      <c r="P35" s="378"/>
      <c r="Q35" s="378"/>
      <c r="R35" s="378"/>
    </row>
    <row r="36" spans="1:18" s="379" customFormat="1" ht="7.5" customHeight="1">
      <c r="A36" s="295"/>
      <c r="B36" s="295"/>
      <c r="C36" s="295"/>
      <c r="D36" s="295"/>
      <c r="E36" s="295"/>
      <c r="F36" s="295"/>
      <c r="G36" s="295"/>
      <c r="H36" s="295"/>
      <c r="I36" s="295"/>
      <c r="J36" s="295"/>
      <c r="K36" s="295"/>
      <c r="L36" s="295"/>
      <c r="M36" s="378"/>
      <c r="N36" s="378"/>
      <c r="O36" s="378"/>
      <c r="P36" s="378"/>
      <c r="Q36" s="378"/>
      <c r="R36" s="378"/>
    </row>
    <row r="37" spans="1:18" s="379" customFormat="1" ht="18">
      <c r="A37" s="295"/>
      <c r="B37" s="398" t="s">
        <v>311</v>
      </c>
      <c r="C37" s="399">
        <f>SUM(E23+J23+E35+J35)</f>
        <v>888125</v>
      </c>
      <c r="D37" s="400">
        <f>SUM(C37/D4)</f>
        <v>444.0625</v>
      </c>
      <c r="E37" s="401" t="s">
        <v>312</v>
      </c>
      <c r="F37" s="295"/>
      <c r="G37" s="295"/>
      <c r="H37" s="295"/>
      <c r="I37" s="295"/>
      <c r="J37" s="295"/>
      <c r="K37" s="295"/>
      <c r="L37" s="295"/>
      <c r="M37" s="378"/>
      <c r="N37" s="378"/>
      <c r="O37" s="378"/>
      <c r="P37" s="378"/>
      <c r="Q37" s="378"/>
      <c r="R37" s="378"/>
    </row>
    <row r="39" spans="1:18" s="379" customFormat="1" ht="18" customHeight="1">
      <c r="A39" s="530" t="s">
        <v>313</v>
      </c>
      <c r="B39" s="530"/>
      <c r="C39" s="530"/>
      <c r="D39" s="530"/>
      <c r="E39" s="530"/>
      <c r="F39" s="530"/>
      <c r="G39" s="530"/>
      <c r="H39" s="530"/>
      <c r="I39" s="530"/>
      <c r="J39" s="530"/>
      <c r="K39" s="530"/>
      <c r="L39" s="402"/>
      <c r="M39" s="402"/>
      <c r="N39" s="402"/>
      <c r="O39" s="378"/>
      <c r="P39" s="378"/>
      <c r="Q39" s="378"/>
      <c r="R39" s="378"/>
    </row>
    <row r="40" spans="1:19" s="382" customFormat="1" ht="18" customHeight="1">
      <c r="A40" s="380"/>
      <c r="B40" s="380"/>
      <c r="C40" s="380" t="s">
        <v>102</v>
      </c>
      <c r="D40" s="380" t="s">
        <v>3</v>
      </c>
      <c r="E40" s="380" t="s">
        <v>3</v>
      </c>
      <c r="F40" s="380"/>
      <c r="G40" s="380"/>
      <c r="H40" s="380" t="s">
        <v>102</v>
      </c>
      <c r="I40" s="380" t="s">
        <v>3</v>
      </c>
      <c r="J40" s="380" t="s">
        <v>3</v>
      </c>
      <c r="K40" s="380"/>
      <c r="L40" s="380"/>
      <c r="M40" s="380"/>
      <c r="N40" s="380"/>
      <c r="O40" s="380"/>
      <c r="P40" s="381"/>
      <c r="Q40" s="381"/>
      <c r="R40" s="381"/>
      <c r="S40" s="381"/>
    </row>
    <row r="41" spans="1:18" s="379" customFormat="1" ht="18">
      <c r="A41" s="383" t="s">
        <v>289</v>
      </c>
      <c r="B41" s="384"/>
      <c r="C41" s="385" t="s">
        <v>314</v>
      </c>
      <c r="D41" s="383" t="s">
        <v>282</v>
      </c>
      <c r="E41" s="385" t="s">
        <v>290</v>
      </c>
      <c r="F41" s="385"/>
      <c r="G41" s="383" t="s">
        <v>291</v>
      </c>
      <c r="H41" s="385" t="s">
        <v>314</v>
      </c>
      <c r="I41" s="383" t="s">
        <v>282</v>
      </c>
      <c r="J41" s="385" t="s">
        <v>290</v>
      </c>
      <c r="K41" s="295"/>
      <c r="L41" s="295"/>
      <c r="M41" s="378"/>
      <c r="N41" s="378"/>
      <c r="O41" s="378"/>
      <c r="P41" s="378"/>
      <c r="Q41" s="378"/>
      <c r="R41" s="378"/>
    </row>
    <row r="42" spans="1:18" s="379" customFormat="1" ht="18" customHeight="1">
      <c r="A42" s="295"/>
      <c r="B42" s="386" t="s">
        <v>315</v>
      </c>
      <c r="C42" s="387">
        <v>0</v>
      </c>
      <c r="D42" s="388">
        <v>0</v>
      </c>
      <c r="E42" s="389">
        <f>SUM(C42*D42)</f>
        <v>0</v>
      </c>
      <c r="F42" s="389"/>
      <c r="G42" s="386" t="s">
        <v>315</v>
      </c>
      <c r="H42" s="387">
        <v>0</v>
      </c>
      <c r="I42" s="388">
        <v>0</v>
      </c>
      <c r="J42" s="389">
        <f>SUM(H42*I42)</f>
        <v>0</v>
      </c>
      <c r="K42" s="295"/>
      <c r="L42" s="295"/>
      <c r="M42" s="378"/>
      <c r="N42" s="378"/>
      <c r="O42" s="378"/>
      <c r="P42" s="378"/>
      <c r="Q42" s="378"/>
      <c r="R42" s="378"/>
    </row>
    <row r="43" spans="1:18" s="379" customFormat="1" ht="18" customHeight="1">
      <c r="A43" s="295"/>
      <c r="B43" s="386"/>
      <c r="C43" s="387">
        <v>0</v>
      </c>
      <c r="D43" s="388">
        <v>0</v>
      </c>
      <c r="E43" s="389">
        <f aca="true" t="shared" si="4" ref="E43:E49">SUM(C43*D43)</f>
        <v>0</v>
      </c>
      <c r="F43" s="389"/>
      <c r="G43" s="386"/>
      <c r="H43" s="387">
        <v>0</v>
      </c>
      <c r="I43" s="388">
        <v>0</v>
      </c>
      <c r="J43" s="389">
        <f aca="true" t="shared" si="5" ref="J43:J49">SUM(H43*I43)</f>
        <v>0</v>
      </c>
      <c r="K43" s="295"/>
      <c r="L43" s="295"/>
      <c r="M43" s="378"/>
      <c r="N43" s="378"/>
      <c r="O43" s="378"/>
      <c r="P43" s="378"/>
      <c r="Q43" s="378"/>
      <c r="R43" s="378"/>
    </row>
    <row r="44" spans="1:18" s="379" customFormat="1" ht="18" customHeight="1">
      <c r="A44" s="295"/>
      <c r="B44" s="386"/>
      <c r="C44" s="387">
        <v>0</v>
      </c>
      <c r="D44" s="388">
        <v>0</v>
      </c>
      <c r="E44" s="389">
        <f t="shared" si="4"/>
        <v>0</v>
      </c>
      <c r="F44" s="389"/>
      <c r="G44" s="386"/>
      <c r="H44" s="387">
        <v>0</v>
      </c>
      <c r="I44" s="388">
        <v>0</v>
      </c>
      <c r="J44" s="389">
        <f t="shared" si="5"/>
        <v>0</v>
      </c>
      <c r="K44" s="295"/>
      <c r="L44" s="295"/>
      <c r="M44" s="378"/>
      <c r="N44" s="378"/>
      <c r="O44" s="378"/>
      <c r="P44" s="378"/>
      <c r="Q44" s="378"/>
      <c r="R44" s="378"/>
    </row>
    <row r="45" spans="1:18" s="379" customFormat="1" ht="18" customHeight="1">
      <c r="A45" s="295"/>
      <c r="B45" s="386"/>
      <c r="C45" s="387">
        <v>0</v>
      </c>
      <c r="D45" s="388">
        <v>0</v>
      </c>
      <c r="E45" s="389">
        <f t="shared" si="4"/>
        <v>0</v>
      </c>
      <c r="F45" s="389"/>
      <c r="G45" s="386"/>
      <c r="H45" s="387">
        <v>0</v>
      </c>
      <c r="I45" s="388">
        <v>0</v>
      </c>
      <c r="J45" s="389">
        <f t="shared" si="5"/>
        <v>0</v>
      </c>
      <c r="K45" s="295"/>
      <c r="L45" s="295"/>
      <c r="M45" s="378"/>
      <c r="N45" s="378"/>
      <c r="O45" s="378"/>
      <c r="P45" s="378"/>
      <c r="Q45" s="378"/>
      <c r="R45" s="378"/>
    </row>
    <row r="46" spans="1:18" s="379" customFormat="1" ht="18" customHeight="1">
      <c r="A46" s="295"/>
      <c r="B46" s="386"/>
      <c r="C46" s="387">
        <v>0</v>
      </c>
      <c r="D46" s="388">
        <v>0</v>
      </c>
      <c r="E46" s="389">
        <f t="shared" si="4"/>
        <v>0</v>
      </c>
      <c r="F46" s="389"/>
      <c r="G46" s="386"/>
      <c r="H46" s="387">
        <v>0</v>
      </c>
      <c r="I46" s="388">
        <v>0</v>
      </c>
      <c r="J46" s="389">
        <f t="shared" si="5"/>
        <v>0</v>
      </c>
      <c r="K46" s="295"/>
      <c r="L46" s="295"/>
      <c r="M46" s="378"/>
      <c r="N46" s="378"/>
      <c r="O46" s="378"/>
      <c r="P46" s="378"/>
      <c r="Q46" s="378"/>
      <c r="R46" s="378"/>
    </row>
    <row r="47" spans="1:18" s="379" customFormat="1" ht="18" customHeight="1">
      <c r="A47" s="295"/>
      <c r="B47" s="386"/>
      <c r="C47" s="387">
        <v>0</v>
      </c>
      <c r="D47" s="388">
        <v>0</v>
      </c>
      <c r="E47" s="389">
        <f t="shared" si="4"/>
        <v>0</v>
      </c>
      <c r="F47" s="389"/>
      <c r="G47" s="386"/>
      <c r="H47" s="387">
        <v>0</v>
      </c>
      <c r="I47" s="388">
        <v>0</v>
      </c>
      <c r="J47" s="389">
        <f t="shared" si="5"/>
        <v>0</v>
      </c>
      <c r="K47" s="295"/>
      <c r="L47" s="295"/>
      <c r="M47" s="378"/>
      <c r="N47" s="378"/>
      <c r="O47" s="378"/>
      <c r="P47" s="378"/>
      <c r="Q47" s="378"/>
      <c r="R47" s="378"/>
    </row>
    <row r="48" spans="1:18" s="379" customFormat="1" ht="18" customHeight="1">
      <c r="A48" s="295"/>
      <c r="B48" s="386"/>
      <c r="C48" s="387">
        <v>0</v>
      </c>
      <c r="D48" s="388">
        <v>0</v>
      </c>
      <c r="E48" s="389">
        <f t="shared" si="4"/>
        <v>0</v>
      </c>
      <c r="F48" s="389"/>
      <c r="G48" s="386"/>
      <c r="H48" s="387">
        <v>0</v>
      </c>
      <c r="I48" s="388">
        <v>0</v>
      </c>
      <c r="J48" s="389">
        <f t="shared" si="5"/>
        <v>0</v>
      </c>
      <c r="K48" s="295"/>
      <c r="L48" s="295"/>
      <c r="M48" s="378"/>
      <c r="N48" s="378"/>
      <c r="O48" s="378"/>
      <c r="P48" s="378"/>
      <c r="Q48" s="378"/>
      <c r="R48" s="378"/>
    </row>
    <row r="49" spans="1:18" s="379" customFormat="1" ht="18" customHeight="1">
      <c r="A49" s="295"/>
      <c r="B49" s="390"/>
      <c r="C49" s="391">
        <v>0</v>
      </c>
      <c r="D49" s="392">
        <v>0</v>
      </c>
      <c r="E49" s="393">
        <f t="shared" si="4"/>
        <v>0</v>
      </c>
      <c r="F49" s="394"/>
      <c r="G49" s="390"/>
      <c r="H49" s="391">
        <v>0</v>
      </c>
      <c r="I49" s="392">
        <v>0</v>
      </c>
      <c r="J49" s="393">
        <f t="shared" si="5"/>
        <v>0</v>
      </c>
      <c r="K49" s="295"/>
      <c r="L49" s="295"/>
      <c r="M49" s="378"/>
      <c r="N49" s="378"/>
      <c r="O49" s="378"/>
      <c r="P49" s="378"/>
      <c r="Q49" s="378"/>
      <c r="R49" s="378"/>
    </row>
    <row r="50" spans="1:18" s="379" customFormat="1" ht="18">
      <c r="A50" s="295"/>
      <c r="B50" s="374" t="s">
        <v>15</v>
      </c>
      <c r="C50" s="389"/>
      <c r="D50" s="389"/>
      <c r="E50" s="389">
        <f>SUM(E42:E49)</f>
        <v>0</v>
      </c>
      <c r="F50" s="389"/>
      <c r="G50" s="374" t="s">
        <v>15</v>
      </c>
      <c r="H50" s="395"/>
      <c r="I50" s="389"/>
      <c r="J50" s="389">
        <f>SUM(J42:J49)</f>
        <v>0</v>
      </c>
      <c r="K50" s="295"/>
      <c r="L50" s="295"/>
      <c r="M50" s="378"/>
      <c r="N50" s="378"/>
      <c r="O50" s="378"/>
      <c r="P50" s="378"/>
      <c r="Q50" s="378"/>
      <c r="R50" s="378"/>
    </row>
    <row r="51" spans="1:18" s="379" customFormat="1" ht="18">
      <c r="A51" s="295"/>
      <c r="B51" s="374"/>
      <c r="C51" s="389"/>
      <c r="D51" s="389"/>
      <c r="E51" s="389"/>
      <c r="F51" s="389"/>
      <c r="G51" s="384"/>
      <c r="H51" s="394"/>
      <c r="I51" s="389"/>
      <c r="J51" s="389"/>
      <c r="K51" s="295"/>
      <c r="L51" s="295"/>
      <c r="M51" s="378"/>
      <c r="N51" s="378"/>
      <c r="O51" s="378"/>
      <c r="P51" s="378"/>
      <c r="Q51" s="378"/>
      <c r="R51" s="378"/>
    </row>
    <row r="52" spans="1:18" s="379" customFormat="1" ht="18">
      <c r="A52" s="295"/>
      <c r="B52" s="295"/>
      <c r="C52" s="380" t="s">
        <v>102</v>
      </c>
      <c r="D52" s="380" t="s">
        <v>3</v>
      </c>
      <c r="E52" s="380" t="s">
        <v>3</v>
      </c>
      <c r="F52" s="295"/>
      <c r="G52" s="295"/>
      <c r="H52" s="380" t="s">
        <v>102</v>
      </c>
      <c r="I52" s="380" t="s">
        <v>3</v>
      </c>
      <c r="J52" s="380" t="s">
        <v>3</v>
      </c>
      <c r="K52" s="295"/>
      <c r="L52" s="295"/>
      <c r="M52" s="378"/>
      <c r="N52" s="378"/>
      <c r="O52" s="378"/>
      <c r="P52" s="378"/>
      <c r="Q52" s="378"/>
      <c r="R52" s="378"/>
    </row>
    <row r="53" spans="1:18" s="379" customFormat="1" ht="18">
      <c r="A53" s="383" t="s">
        <v>300</v>
      </c>
      <c r="B53" s="384"/>
      <c r="C53" s="385" t="s">
        <v>314</v>
      </c>
      <c r="D53" s="383" t="s">
        <v>282</v>
      </c>
      <c r="E53" s="385" t="s">
        <v>290</v>
      </c>
      <c r="F53" s="295"/>
      <c r="G53" s="383" t="s">
        <v>301</v>
      </c>
      <c r="H53" s="385" t="s">
        <v>314</v>
      </c>
      <c r="I53" s="383" t="s">
        <v>282</v>
      </c>
      <c r="J53" s="385" t="s">
        <v>290</v>
      </c>
      <c r="K53" s="295"/>
      <c r="L53" s="295"/>
      <c r="M53" s="378"/>
      <c r="N53" s="378"/>
      <c r="O53" s="378"/>
      <c r="P53" s="378"/>
      <c r="Q53" s="378"/>
      <c r="R53" s="378"/>
    </row>
    <row r="54" spans="1:18" s="379" customFormat="1" ht="18" customHeight="1">
      <c r="A54" s="295"/>
      <c r="B54" s="386" t="s">
        <v>315</v>
      </c>
      <c r="C54" s="387">
        <v>0</v>
      </c>
      <c r="D54" s="388">
        <v>0</v>
      </c>
      <c r="E54" s="389">
        <f>SUM(C54*D54)</f>
        <v>0</v>
      </c>
      <c r="F54" s="384"/>
      <c r="G54" s="386" t="s">
        <v>183</v>
      </c>
      <c r="H54" s="387">
        <v>9600</v>
      </c>
      <c r="I54" s="388">
        <v>0.75</v>
      </c>
      <c r="J54" s="389">
        <f>SUM(H54*I54)</f>
        <v>7200</v>
      </c>
      <c r="K54" s="295"/>
      <c r="L54" s="295"/>
      <c r="M54" s="378"/>
      <c r="N54" s="378"/>
      <c r="O54" s="378"/>
      <c r="P54" s="378"/>
      <c r="Q54" s="378"/>
      <c r="R54" s="378"/>
    </row>
    <row r="55" spans="1:18" s="379" customFormat="1" ht="18" customHeight="1">
      <c r="A55" s="295"/>
      <c r="B55" s="386"/>
      <c r="C55" s="387">
        <v>0</v>
      </c>
      <c r="D55" s="388">
        <v>0</v>
      </c>
      <c r="E55" s="389">
        <f aca="true" t="shared" si="6" ref="E55:E61">SUM(C55*D55)</f>
        <v>0</v>
      </c>
      <c r="F55" s="384"/>
      <c r="G55" s="386"/>
      <c r="H55" s="387">
        <v>0</v>
      </c>
      <c r="I55" s="388">
        <v>0</v>
      </c>
      <c r="J55" s="389">
        <f aca="true" t="shared" si="7" ref="J55:J61">SUM(H55*I55)</f>
        <v>0</v>
      </c>
      <c r="K55" s="295"/>
      <c r="L55" s="295"/>
      <c r="M55" s="378"/>
      <c r="N55" s="378"/>
      <c r="O55" s="378"/>
      <c r="P55" s="378"/>
      <c r="Q55" s="378"/>
      <c r="R55" s="378"/>
    </row>
    <row r="56" spans="1:18" s="379" customFormat="1" ht="18" customHeight="1">
      <c r="A56" s="295"/>
      <c r="B56" s="386"/>
      <c r="C56" s="387">
        <v>0</v>
      </c>
      <c r="D56" s="388">
        <v>0</v>
      </c>
      <c r="E56" s="389">
        <f t="shared" si="6"/>
        <v>0</v>
      </c>
      <c r="F56" s="384"/>
      <c r="G56" s="386"/>
      <c r="H56" s="387">
        <v>0</v>
      </c>
      <c r="I56" s="388">
        <v>0</v>
      </c>
      <c r="J56" s="389">
        <f t="shared" si="7"/>
        <v>0</v>
      </c>
      <c r="K56" s="295"/>
      <c r="L56" s="295"/>
      <c r="M56" s="378"/>
      <c r="N56" s="378"/>
      <c r="O56" s="378"/>
      <c r="P56" s="378"/>
      <c r="Q56" s="378"/>
      <c r="R56" s="378"/>
    </row>
    <row r="57" spans="1:18" s="379" customFormat="1" ht="18" customHeight="1">
      <c r="A57" s="295"/>
      <c r="B57" s="386"/>
      <c r="C57" s="387">
        <v>0</v>
      </c>
      <c r="D57" s="388">
        <v>0</v>
      </c>
      <c r="E57" s="389">
        <f t="shared" si="6"/>
        <v>0</v>
      </c>
      <c r="F57" s="384"/>
      <c r="G57" s="386"/>
      <c r="H57" s="387">
        <v>0</v>
      </c>
      <c r="I57" s="388">
        <v>0</v>
      </c>
      <c r="J57" s="389">
        <f t="shared" si="7"/>
        <v>0</v>
      </c>
      <c r="K57" s="295"/>
      <c r="L57" s="295"/>
      <c r="M57" s="378"/>
      <c r="N57" s="378"/>
      <c r="O57" s="378"/>
      <c r="P57" s="378"/>
      <c r="Q57" s="378"/>
      <c r="R57" s="378"/>
    </row>
    <row r="58" spans="1:18" s="379" customFormat="1" ht="18" customHeight="1">
      <c r="A58" s="295"/>
      <c r="B58" s="386"/>
      <c r="C58" s="387">
        <v>0</v>
      </c>
      <c r="D58" s="388">
        <v>0</v>
      </c>
      <c r="E58" s="389">
        <f t="shared" si="6"/>
        <v>0</v>
      </c>
      <c r="F58" s="384"/>
      <c r="G58" s="386"/>
      <c r="H58" s="387">
        <v>0</v>
      </c>
      <c r="I58" s="388">
        <v>0</v>
      </c>
      <c r="J58" s="389">
        <f t="shared" si="7"/>
        <v>0</v>
      </c>
      <c r="K58" s="295"/>
      <c r="L58" s="295"/>
      <c r="M58" s="378"/>
      <c r="N58" s="378"/>
      <c r="O58" s="378"/>
      <c r="P58" s="378"/>
      <c r="Q58" s="378"/>
      <c r="R58" s="378"/>
    </row>
    <row r="59" spans="1:18" s="379" customFormat="1" ht="18" customHeight="1">
      <c r="A59" s="295"/>
      <c r="B59" s="386"/>
      <c r="C59" s="387">
        <v>0</v>
      </c>
      <c r="D59" s="388">
        <v>0</v>
      </c>
      <c r="E59" s="389">
        <f t="shared" si="6"/>
        <v>0</v>
      </c>
      <c r="F59" s="384"/>
      <c r="G59" s="386"/>
      <c r="H59" s="387">
        <v>0</v>
      </c>
      <c r="I59" s="388">
        <v>0</v>
      </c>
      <c r="J59" s="389">
        <f t="shared" si="7"/>
        <v>0</v>
      </c>
      <c r="K59" s="295"/>
      <c r="L59" s="295"/>
      <c r="M59" s="378"/>
      <c r="N59" s="378"/>
      <c r="O59" s="378"/>
      <c r="P59" s="378"/>
      <c r="Q59" s="378"/>
      <c r="R59" s="378"/>
    </row>
    <row r="60" spans="1:18" s="379" customFormat="1" ht="18" customHeight="1">
      <c r="A60" s="295"/>
      <c r="B60" s="386"/>
      <c r="C60" s="387">
        <v>0</v>
      </c>
      <c r="D60" s="388">
        <v>0</v>
      </c>
      <c r="E60" s="389">
        <f t="shared" si="6"/>
        <v>0</v>
      </c>
      <c r="F60" s="384"/>
      <c r="G60" s="386"/>
      <c r="H60" s="387">
        <v>0</v>
      </c>
      <c r="I60" s="388">
        <v>0</v>
      </c>
      <c r="J60" s="389">
        <f t="shared" si="7"/>
        <v>0</v>
      </c>
      <c r="K60" s="295"/>
      <c r="L60" s="295"/>
      <c r="M60" s="378"/>
      <c r="N60" s="378"/>
      <c r="O60" s="378"/>
      <c r="P60" s="378"/>
      <c r="Q60" s="378"/>
      <c r="R60" s="378"/>
    </row>
    <row r="61" spans="1:18" s="379" customFormat="1" ht="18" customHeight="1">
      <c r="A61" s="295"/>
      <c r="B61" s="390"/>
      <c r="C61" s="391">
        <v>0</v>
      </c>
      <c r="D61" s="392">
        <v>0</v>
      </c>
      <c r="E61" s="393">
        <f t="shared" si="6"/>
        <v>0</v>
      </c>
      <c r="F61" s="396"/>
      <c r="G61" s="390"/>
      <c r="H61" s="391">
        <v>0</v>
      </c>
      <c r="I61" s="392">
        <v>0</v>
      </c>
      <c r="J61" s="393">
        <f t="shared" si="7"/>
        <v>0</v>
      </c>
      <c r="K61" s="295"/>
      <c r="L61" s="295"/>
      <c r="M61" s="378"/>
      <c r="N61" s="378"/>
      <c r="O61" s="378"/>
      <c r="P61" s="378"/>
      <c r="Q61" s="378"/>
      <c r="R61" s="378"/>
    </row>
    <row r="62" spans="1:18" s="379" customFormat="1" ht="18">
      <c r="A62" s="295"/>
      <c r="B62" s="374" t="s">
        <v>15</v>
      </c>
      <c r="C62" s="389">
        <f>SUM(C54:C61)</f>
        <v>0</v>
      </c>
      <c r="D62" s="389"/>
      <c r="E62" s="389">
        <f>SUM(E54:E61)</f>
        <v>0</v>
      </c>
      <c r="F62" s="389"/>
      <c r="G62" s="397" t="s">
        <v>15</v>
      </c>
      <c r="H62" s="395"/>
      <c r="I62" s="389"/>
      <c r="J62" s="389">
        <f>SUM(J54:J61)</f>
        <v>7200</v>
      </c>
      <c r="K62" s="295"/>
      <c r="L62" s="295"/>
      <c r="M62" s="378"/>
      <c r="N62" s="378"/>
      <c r="O62" s="378"/>
      <c r="P62" s="378"/>
      <c r="Q62" s="378"/>
      <c r="R62" s="378"/>
    </row>
    <row r="63" ht="7.5" customHeight="1"/>
    <row r="64" spans="1:18" s="379" customFormat="1" ht="18">
      <c r="A64" s="295"/>
      <c r="B64" s="398" t="s">
        <v>316</v>
      </c>
      <c r="C64" s="399">
        <f>SUM(E50+J50+E62+J62)</f>
        <v>7200</v>
      </c>
      <c r="D64" s="400">
        <f>SUM(C64/D4)</f>
        <v>3.6</v>
      </c>
      <c r="E64" s="401" t="s">
        <v>312</v>
      </c>
      <c r="F64" s="295"/>
      <c r="G64" s="295"/>
      <c r="H64" s="295"/>
      <c r="I64" s="295"/>
      <c r="J64" s="295"/>
      <c r="K64" s="295"/>
      <c r="L64" s="295"/>
      <c r="M64" s="378"/>
      <c r="N64" s="378"/>
      <c r="O64" s="378"/>
      <c r="P64" s="378"/>
      <c r="Q64" s="378"/>
      <c r="R64" s="378"/>
    </row>
    <row r="65" ht="15">
      <c r="B65" s="361" t="s">
        <v>317</v>
      </c>
    </row>
  </sheetData>
  <sheetProtection password="C6A6" sheet="1"/>
  <mergeCells count="3">
    <mergeCell ref="A1:J1"/>
    <mergeCell ref="A12:J12"/>
    <mergeCell ref="A39:K39"/>
  </mergeCells>
  <printOptions/>
  <pageMargins left="0.7480314960629921" right="0.7480314960629921" top="0.984251968503937" bottom="0.984251968503937" header="0.5118110236220472" footer="0.5118110236220472"/>
  <pageSetup firstPageNumber="9" useFirstPageNumber="1" fitToHeight="1" fitToWidth="1" horizontalDpi="300" verticalDpi="300" orientation="portrait" scale="59" r:id="rId1"/>
  <headerFooter scaleWithDoc="0" alignWithMargins="0">
    <oddHeader>&amp;L&amp;8
Guidelines: Forage Seed Production Costs 
&amp;R&amp;8&amp;P</oddHeader>
    <oddFooter>&amp;R&amp;9Manitoba Agriculture, Food and Rural Development</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S37"/>
  <sheetViews>
    <sheetView zoomScale="80" zoomScaleNormal="80" workbookViewId="0" topLeftCell="A1">
      <selection activeCell="A2" sqref="A2:J2"/>
    </sheetView>
  </sheetViews>
  <sheetFormatPr defaultColWidth="9.140625" defaultRowHeight="12.75"/>
  <cols>
    <col min="1" max="1" width="18.57421875" style="128" customWidth="1"/>
    <col min="2" max="2" width="12.7109375" style="128" customWidth="1"/>
    <col min="3" max="3" width="13.421875" style="128" customWidth="1"/>
    <col min="4" max="4" width="10.8515625" style="128" customWidth="1"/>
    <col min="5" max="6" width="10.57421875" style="128" customWidth="1"/>
    <col min="7" max="8" width="10.7109375" style="128" customWidth="1"/>
    <col min="9" max="9" width="12.140625" style="128" customWidth="1"/>
    <col min="10" max="10" width="10.7109375" style="128" customWidth="1"/>
    <col min="11" max="16384" width="9.140625" style="128" customWidth="1"/>
  </cols>
  <sheetData>
    <row r="1" ht="12.75"/>
    <row r="2" spans="1:10" ht="21.75" customHeight="1">
      <c r="A2" s="537" t="s">
        <v>323</v>
      </c>
      <c r="B2" s="538"/>
      <c r="C2" s="538"/>
      <c r="D2" s="538"/>
      <c r="E2" s="538"/>
      <c r="F2" s="538"/>
      <c r="G2" s="538"/>
      <c r="H2" s="538"/>
      <c r="I2" s="538"/>
      <c r="J2" s="538"/>
    </row>
    <row r="3" ht="13.5" thickBot="1">
      <c r="A3" s="129"/>
    </row>
    <row r="4" spans="1:10" ht="12.75">
      <c r="A4" s="130"/>
      <c r="B4" s="131"/>
      <c r="C4" s="131"/>
      <c r="D4" s="132"/>
      <c r="E4" s="133"/>
      <c r="F4" s="134"/>
      <c r="G4" s="131"/>
      <c r="H4" s="131"/>
      <c r="I4" s="131"/>
      <c r="J4" s="131"/>
    </row>
    <row r="5" spans="1:10" ht="38.25">
      <c r="A5" s="319" t="s">
        <v>3</v>
      </c>
      <c r="B5" s="320" t="s">
        <v>121</v>
      </c>
      <c r="C5" s="320" t="s">
        <v>122</v>
      </c>
      <c r="D5" s="321" t="s">
        <v>123</v>
      </c>
      <c r="E5" s="321" t="s">
        <v>124</v>
      </c>
      <c r="F5" s="320" t="s">
        <v>119</v>
      </c>
      <c r="G5" s="320" t="s">
        <v>125</v>
      </c>
      <c r="H5" s="320" t="s">
        <v>126</v>
      </c>
      <c r="I5" s="320" t="s">
        <v>127</v>
      </c>
      <c r="J5" s="320" t="s">
        <v>128</v>
      </c>
    </row>
    <row r="6" spans="1:10" ht="22.5">
      <c r="A6" s="135"/>
      <c r="B6" s="136"/>
      <c r="C6" s="136"/>
      <c r="D6" s="137"/>
      <c r="E6" s="138" t="s">
        <v>129</v>
      </c>
      <c r="F6" s="322" t="s">
        <v>324</v>
      </c>
      <c r="G6" s="139"/>
      <c r="H6" s="139"/>
      <c r="I6" s="139"/>
      <c r="J6" s="139"/>
    </row>
    <row r="7" spans="1:10" ht="13.5" thickBot="1">
      <c r="A7" s="140"/>
      <c r="B7" s="141"/>
      <c r="C7" s="141"/>
      <c r="D7" s="142"/>
      <c r="E7" s="143"/>
      <c r="F7" s="474"/>
      <c r="G7" s="141"/>
      <c r="H7" s="141"/>
      <c r="I7" s="141"/>
      <c r="J7" s="141"/>
    </row>
    <row r="8" spans="1:19" s="265" customFormat="1" ht="20.25" customHeight="1">
      <c r="A8" s="264" t="s">
        <v>132</v>
      </c>
      <c r="B8" s="533" t="s">
        <v>133</v>
      </c>
      <c r="C8" s="533" t="s">
        <v>134</v>
      </c>
      <c r="D8" s="533">
        <v>2</v>
      </c>
      <c r="E8" s="531" t="s">
        <v>135</v>
      </c>
      <c r="F8" s="531">
        <v>750</v>
      </c>
      <c r="G8" s="533" t="s">
        <v>136</v>
      </c>
      <c r="H8" s="533" t="s">
        <v>136</v>
      </c>
      <c r="I8" s="533" t="s">
        <v>137</v>
      </c>
      <c r="J8" s="533" t="s">
        <v>136</v>
      </c>
      <c r="L8" s="251"/>
      <c r="M8" s="251"/>
      <c r="N8" s="251"/>
      <c r="O8" s="251"/>
      <c r="P8" s="251"/>
      <c r="Q8" s="251"/>
      <c r="R8" s="251"/>
      <c r="S8" s="251"/>
    </row>
    <row r="9" spans="1:19" s="265" customFormat="1" ht="20.25" customHeight="1" thickBot="1">
      <c r="A9" s="266" t="s">
        <v>138</v>
      </c>
      <c r="B9" s="534"/>
      <c r="C9" s="534"/>
      <c r="D9" s="534"/>
      <c r="E9" s="532"/>
      <c r="F9" s="532"/>
      <c r="G9" s="534"/>
      <c r="H9" s="534"/>
      <c r="I9" s="534"/>
      <c r="J9" s="534"/>
      <c r="L9" s="251"/>
      <c r="M9" s="251"/>
      <c r="N9" s="251"/>
      <c r="O9" s="326"/>
      <c r="P9" s="294"/>
      <c r="Q9" s="326"/>
      <c r="R9" s="326"/>
      <c r="S9" s="251"/>
    </row>
    <row r="10" spans="1:19" s="265" customFormat="1" ht="20.25" customHeight="1">
      <c r="A10" s="264" t="s">
        <v>139</v>
      </c>
      <c r="B10" s="533" t="s">
        <v>133</v>
      </c>
      <c r="C10" s="533" t="s">
        <v>134</v>
      </c>
      <c r="D10" s="533">
        <v>1</v>
      </c>
      <c r="E10" s="531" t="s">
        <v>140</v>
      </c>
      <c r="F10" s="531">
        <v>400</v>
      </c>
      <c r="G10" s="533" t="s">
        <v>137</v>
      </c>
      <c r="H10" s="533" t="s">
        <v>137</v>
      </c>
      <c r="I10" s="533" t="s">
        <v>141</v>
      </c>
      <c r="J10" s="533" t="s">
        <v>136</v>
      </c>
      <c r="L10" s="251"/>
      <c r="M10" s="251"/>
      <c r="N10" s="294"/>
      <c r="O10" s="326"/>
      <c r="P10" s="294"/>
      <c r="Q10" s="326"/>
      <c r="R10" s="294"/>
      <c r="S10" s="251"/>
    </row>
    <row r="11" spans="1:19" s="265" customFormat="1" ht="20.25" customHeight="1" thickBot="1">
      <c r="A11" s="266" t="s">
        <v>142</v>
      </c>
      <c r="B11" s="534"/>
      <c r="C11" s="534"/>
      <c r="D11" s="534"/>
      <c r="E11" s="532"/>
      <c r="F11" s="532"/>
      <c r="G11" s="534"/>
      <c r="H11" s="534"/>
      <c r="I11" s="534"/>
      <c r="J11" s="534"/>
      <c r="L11" s="251"/>
      <c r="M11" s="251"/>
      <c r="N11" s="294"/>
      <c r="O11" s="326"/>
      <c r="P11" s="294"/>
      <c r="Q11" s="326"/>
      <c r="R11" s="294"/>
      <c r="S11" s="251"/>
    </row>
    <row r="12" spans="1:19" s="265" customFormat="1" ht="20.25" customHeight="1">
      <c r="A12" s="264" t="s">
        <v>143</v>
      </c>
      <c r="B12" s="533" t="s">
        <v>133</v>
      </c>
      <c r="C12" s="533" t="s">
        <v>144</v>
      </c>
      <c r="D12" s="533">
        <v>3</v>
      </c>
      <c r="E12" s="531" t="s">
        <v>145</v>
      </c>
      <c r="F12" s="531">
        <v>800</v>
      </c>
      <c r="G12" s="533" t="s">
        <v>137</v>
      </c>
      <c r="H12" s="533" t="s">
        <v>137</v>
      </c>
      <c r="I12" s="533" t="s">
        <v>141</v>
      </c>
      <c r="J12" s="533" t="s">
        <v>136</v>
      </c>
      <c r="L12" s="251"/>
      <c r="M12" s="251"/>
      <c r="N12" s="294"/>
      <c r="O12" s="294"/>
      <c r="P12" s="294"/>
      <c r="Q12" s="326"/>
      <c r="R12" s="294"/>
      <c r="S12" s="295"/>
    </row>
    <row r="13" spans="1:19" s="265" customFormat="1" ht="20.25" customHeight="1" thickBot="1">
      <c r="A13" s="266" t="s">
        <v>146</v>
      </c>
      <c r="B13" s="534"/>
      <c r="C13" s="534"/>
      <c r="D13" s="534"/>
      <c r="E13" s="532"/>
      <c r="F13" s="532"/>
      <c r="G13" s="534"/>
      <c r="H13" s="534"/>
      <c r="I13" s="534"/>
      <c r="J13" s="534"/>
      <c r="L13" s="124"/>
      <c r="M13" s="124"/>
      <c r="N13" s="124"/>
      <c r="O13" s="124"/>
      <c r="P13" s="124"/>
      <c r="Q13" s="124"/>
      <c r="R13" s="124"/>
      <c r="S13" s="118"/>
    </row>
    <row r="14" spans="1:19" s="265" customFormat="1" ht="20.25" customHeight="1">
      <c r="A14" s="264" t="s">
        <v>107</v>
      </c>
      <c r="B14" s="533" t="s">
        <v>133</v>
      </c>
      <c r="C14" s="533" t="s">
        <v>130</v>
      </c>
      <c r="D14" s="533">
        <v>1</v>
      </c>
      <c r="E14" s="531" t="s">
        <v>147</v>
      </c>
      <c r="F14" s="531">
        <v>350</v>
      </c>
      <c r="G14" s="533" t="s">
        <v>131</v>
      </c>
      <c r="H14" s="533" t="s">
        <v>131</v>
      </c>
      <c r="I14" s="533" t="s">
        <v>141</v>
      </c>
      <c r="J14" s="533" t="s">
        <v>148</v>
      </c>
      <c r="L14" s="118"/>
      <c r="M14" s="118"/>
      <c r="N14" s="118"/>
      <c r="O14" s="118"/>
      <c r="P14" s="118"/>
      <c r="Q14" s="118"/>
      <c r="R14" s="118"/>
      <c r="S14" s="118"/>
    </row>
    <row r="15" spans="1:19" s="265" customFormat="1" ht="20.25" customHeight="1" thickBot="1">
      <c r="A15" s="266" t="s">
        <v>149</v>
      </c>
      <c r="B15" s="534"/>
      <c r="C15" s="534"/>
      <c r="D15" s="534"/>
      <c r="E15" s="532"/>
      <c r="F15" s="532"/>
      <c r="G15" s="534"/>
      <c r="H15" s="534"/>
      <c r="I15" s="534"/>
      <c r="J15" s="534"/>
      <c r="L15" s="126"/>
      <c r="M15" s="126"/>
      <c r="N15" s="126"/>
      <c r="O15" s="126"/>
      <c r="P15" s="126"/>
      <c r="Q15" s="126"/>
      <c r="R15" s="126"/>
      <c r="S15" s="126"/>
    </row>
    <row r="16" spans="1:19" s="265" customFormat="1" ht="20.25" customHeight="1">
      <c r="A16" s="264" t="s">
        <v>150</v>
      </c>
      <c r="B16" s="533" t="s">
        <v>133</v>
      </c>
      <c r="C16" s="533" t="s">
        <v>130</v>
      </c>
      <c r="D16" s="533">
        <v>6</v>
      </c>
      <c r="E16" s="531" t="s">
        <v>151</v>
      </c>
      <c r="F16" s="531">
        <v>320</v>
      </c>
      <c r="G16" s="533" t="s">
        <v>131</v>
      </c>
      <c r="H16" s="533" t="s">
        <v>137</v>
      </c>
      <c r="I16" s="533" t="s">
        <v>137</v>
      </c>
      <c r="J16" s="533" t="s">
        <v>131</v>
      </c>
      <c r="L16" s="145"/>
      <c r="M16" s="145"/>
      <c r="N16" s="145"/>
      <c r="O16" s="145"/>
      <c r="P16" s="145"/>
      <c r="Q16" s="145"/>
      <c r="R16" s="145"/>
      <c r="S16" s="145"/>
    </row>
    <row r="17" spans="1:10" s="265" customFormat="1" ht="20.25" customHeight="1" thickBot="1">
      <c r="A17" s="266" t="s">
        <v>152</v>
      </c>
      <c r="B17" s="534"/>
      <c r="C17" s="534"/>
      <c r="D17" s="534"/>
      <c r="E17" s="532"/>
      <c r="F17" s="532"/>
      <c r="G17" s="534"/>
      <c r="H17" s="534"/>
      <c r="I17" s="534"/>
      <c r="J17" s="534"/>
    </row>
    <row r="18" spans="1:10" s="265" customFormat="1" ht="20.25" customHeight="1">
      <c r="A18" s="264" t="s">
        <v>153</v>
      </c>
      <c r="B18" s="533" t="s">
        <v>137</v>
      </c>
      <c r="C18" s="533" t="s">
        <v>154</v>
      </c>
      <c r="D18" s="533">
        <v>7</v>
      </c>
      <c r="E18" s="531" t="s">
        <v>155</v>
      </c>
      <c r="F18" s="531">
        <v>200</v>
      </c>
      <c r="G18" s="533" t="s">
        <v>131</v>
      </c>
      <c r="H18" s="533" t="s">
        <v>137</v>
      </c>
      <c r="I18" s="533" t="s">
        <v>137</v>
      </c>
      <c r="J18" s="533" t="s">
        <v>131</v>
      </c>
    </row>
    <row r="19" spans="1:10" s="265" customFormat="1" ht="20.25" customHeight="1" thickBot="1">
      <c r="A19" s="266" t="s">
        <v>156</v>
      </c>
      <c r="B19" s="534"/>
      <c r="C19" s="534"/>
      <c r="D19" s="534"/>
      <c r="E19" s="532"/>
      <c r="F19" s="532"/>
      <c r="G19" s="534"/>
      <c r="H19" s="534"/>
      <c r="I19" s="534"/>
      <c r="J19" s="534"/>
    </row>
    <row r="20" spans="1:10" s="265" customFormat="1" ht="20.25" customHeight="1">
      <c r="A20" s="264" t="s">
        <v>157</v>
      </c>
      <c r="B20" s="533" t="s">
        <v>133</v>
      </c>
      <c r="C20" s="533" t="s">
        <v>158</v>
      </c>
      <c r="D20" s="533">
        <v>4</v>
      </c>
      <c r="E20" s="476" t="s">
        <v>159</v>
      </c>
      <c r="F20" s="531">
        <v>250</v>
      </c>
      <c r="G20" s="533" t="s">
        <v>131</v>
      </c>
      <c r="H20" s="533" t="s">
        <v>131</v>
      </c>
      <c r="I20" s="533" t="s">
        <v>137</v>
      </c>
      <c r="J20" s="533" t="s">
        <v>131</v>
      </c>
    </row>
    <row r="21" spans="1:10" s="265" customFormat="1" ht="20.25" customHeight="1" thickBot="1">
      <c r="A21" s="267" t="s">
        <v>160</v>
      </c>
      <c r="B21" s="534"/>
      <c r="C21" s="534"/>
      <c r="D21" s="534"/>
      <c r="E21" s="475" t="s">
        <v>161</v>
      </c>
      <c r="F21" s="532"/>
      <c r="G21" s="534"/>
      <c r="H21" s="534"/>
      <c r="I21" s="534"/>
      <c r="J21" s="534"/>
    </row>
    <row r="22" spans="1:10" s="265" customFormat="1" ht="30.75" customHeight="1" thickBot="1">
      <c r="A22" s="318" t="s">
        <v>230</v>
      </c>
      <c r="B22" s="478" t="s">
        <v>162</v>
      </c>
      <c r="C22" s="478">
        <v>1</v>
      </c>
      <c r="D22" s="478">
        <v>3</v>
      </c>
      <c r="E22" s="477" t="s">
        <v>163</v>
      </c>
      <c r="F22" s="477">
        <v>950</v>
      </c>
      <c r="G22" s="478" t="s">
        <v>131</v>
      </c>
      <c r="H22" s="478" t="s">
        <v>131</v>
      </c>
      <c r="I22" s="478" t="s">
        <v>137</v>
      </c>
      <c r="J22" s="478" t="s">
        <v>131</v>
      </c>
    </row>
    <row r="23" spans="1:10" ht="12.75">
      <c r="A23" s="535" t="s">
        <v>229</v>
      </c>
      <c r="B23" s="535"/>
      <c r="C23" s="535"/>
      <c r="D23" s="535"/>
      <c r="E23" s="535"/>
      <c r="F23" s="535"/>
      <c r="G23" s="535"/>
      <c r="H23" s="535"/>
      <c r="I23" s="535"/>
      <c r="J23" s="535"/>
    </row>
    <row r="24" spans="1:10" ht="12.75">
      <c r="A24" s="536"/>
      <c r="B24" s="536"/>
      <c r="C24" s="536"/>
      <c r="D24" s="536"/>
      <c r="E24" s="536"/>
      <c r="F24" s="536"/>
      <c r="G24" s="536"/>
      <c r="H24" s="536"/>
      <c r="I24" s="536"/>
      <c r="J24" s="536"/>
    </row>
    <row r="25" spans="1:10" ht="12.75">
      <c r="A25" s="536"/>
      <c r="B25" s="536"/>
      <c r="C25" s="536"/>
      <c r="D25" s="536"/>
      <c r="E25" s="536"/>
      <c r="F25" s="536"/>
      <c r="G25" s="536"/>
      <c r="H25" s="536"/>
      <c r="I25" s="536"/>
      <c r="J25" s="536"/>
    </row>
    <row r="27" spans="1:10" s="306" customFormat="1" ht="16.5" customHeight="1">
      <c r="A27" s="305"/>
      <c r="B27" s="305"/>
      <c r="C27" s="305"/>
      <c r="D27" s="305"/>
      <c r="E27" s="305"/>
      <c r="J27" s="307"/>
    </row>
    <row r="28" spans="1:10" ht="7.5" customHeight="1">
      <c r="A28" s="308"/>
      <c r="B28" s="309"/>
      <c r="C28" s="309"/>
      <c r="D28" s="309"/>
      <c r="E28" s="309"/>
      <c r="F28" s="309"/>
      <c r="G28" s="310"/>
      <c r="H28" s="310"/>
      <c r="I28" s="310"/>
      <c r="J28" s="310"/>
    </row>
    <row r="29" spans="1:4" s="311" customFormat="1" ht="23.25" customHeight="1">
      <c r="A29" s="312" t="s">
        <v>329</v>
      </c>
      <c r="C29" s="313"/>
      <c r="D29" s="313"/>
    </row>
    <row r="30" spans="1:4" s="316" customFormat="1" ht="15">
      <c r="A30" s="336" t="s">
        <v>231</v>
      </c>
      <c r="D30" s="315"/>
    </row>
    <row r="31" spans="1:4" s="101" customFormat="1" ht="14.25">
      <c r="A31" s="101" t="s">
        <v>232</v>
      </c>
      <c r="D31" s="317"/>
    </row>
    <row r="32" s="101" customFormat="1" ht="7.5" customHeight="1">
      <c r="D32" s="317"/>
    </row>
    <row r="33" s="314" customFormat="1" ht="15">
      <c r="D33" s="315"/>
    </row>
    <row r="34" s="317" customFormat="1" ht="14.25"/>
    <row r="35" ht="15">
      <c r="A35" s="315"/>
    </row>
    <row r="36" ht="14.25">
      <c r="A36" s="317"/>
    </row>
    <row r="37" ht="15">
      <c r="A37" s="118"/>
    </row>
  </sheetData>
  <sheetProtection password="C6A6" sheet="1"/>
  <mergeCells count="64">
    <mergeCell ref="A2:J2"/>
    <mergeCell ref="B8:B9"/>
    <mergeCell ref="C8:C9"/>
    <mergeCell ref="D8:D9"/>
    <mergeCell ref="E8:E9"/>
    <mergeCell ref="G8:G9"/>
    <mergeCell ref="H8:H9"/>
    <mergeCell ref="F8:F9"/>
    <mergeCell ref="I8:I9"/>
    <mergeCell ref="J8:J9"/>
    <mergeCell ref="I10:I11"/>
    <mergeCell ref="F12:F13"/>
    <mergeCell ref="B10:B11"/>
    <mergeCell ref="C10:C11"/>
    <mergeCell ref="D10:D11"/>
    <mergeCell ref="E10:E11"/>
    <mergeCell ref="G10:G11"/>
    <mergeCell ref="H10:H11"/>
    <mergeCell ref="J10:J11"/>
    <mergeCell ref="B12:B13"/>
    <mergeCell ref="C12:C13"/>
    <mergeCell ref="D12:D13"/>
    <mergeCell ref="E12:E13"/>
    <mergeCell ref="G12:G13"/>
    <mergeCell ref="H12:H13"/>
    <mergeCell ref="I12:I13"/>
    <mergeCell ref="J12:J13"/>
    <mergeCell ref="F10:F11"/>
    <mergeCell ref="I16:I17"/>
    <mergeCell ref="B14:B15"/>
    <mergeCell ref="C14:C15"/>
    <mergeCell ref="D14:D15"/>
    <mergeCell ref="E14:E15"/>
    <mergeCell ref="G14:G15"/>
    <mergeCell ref="H14:H15"/>
    <mergeCell ref="B16:B17"/>
    <mergeCell ref="C16:C17"/>
    <mergeCell ref="D16:D17"/>
    <mergeCell ref="E16:E17"/>
    <mergeCell ref="G16:G17"/>
    <mergeCell ref="H16:H17"/>
    <mergeCell ref="B18:B19"/>
    <mergeCell ref="C18:C19"/>
    <mergeCell ref="D18:D19"/>
    <mergeCell ref="E18:E19"/>
    <mergeCell ref="G18:G19"/>
    <mergeCell ref="H18:H19"/>
    <mergeCell ref="A23:J25"/>
    <mergeCell ref="B20:B21"/>
    <mergeCell ref="C20:C21"/>
    <mergeCell ref="D20:D21"/>
    <mergeCell ref="G20:G21"/>
    <mergeCell ref="H20:H21"/>
    <mergeCell ref="I20:I21"/>
    <mergeCell ref="F14:F15"/>
    <mergeCell ref="F16:F17"/>
    <mergeCell ref="F18:F19"/>
    <mergeCell ref="F20:F21"/>
    <mergeCell ref="J20:J21"/>
    <mergeCell ref="J16:J17"/>
    <mergeCell ref="I18:I19"/>
    <mergeCell ref="J18:J19"/>
    <mergeCell ref="I14:I15"/>
    <mergeCell ref="J14:J15"/>
  </mergeCells>
  <hyperlinks>
    <hyperlink ref="A30" r:id="rId1" display="Derrick Chomokovski "/>
  </hyperlinks>
  <printOptions/>
  <pageMargins left="0.7480314960629921" right="0.7480314960629921" top="0.984251968503937" bottom="0.984251968503937" header="0.5118110236220472" footer="0.5118110236220472"/>
  <pageSetup firstPageNumber="10" useFirstPageNumber="1" fitToHeight="1" fitToWidth="1" horizontalDpi="600" verticalDpi="600" orientation="portrait" scale="75" r:id="rId4"/>
  <headerFooter alignWithMargins="0">
    <oddHeader>&amp;LGuidelines: Forage Seed Production Costs&amp;R&amp;P</oddHeader>
    <oddFooter>&amp;RManitoba Agriculture, Food and Rural Development</oddFooter>
  </headerFooter>
  <legacyDrawing r:id="rId3"/>
</worksheet>
</file>

<file path=xl/worksheets/sheet9.xml><?xml version="1.0" encoding="utf-8"?>
<worksheet xmlns="http://schemas.openxmlformats.org/spreadsheetml/2006/main" xmlns:r="http://schemas.openxmlformats.org/officeDocument/2006/relationships">
  <sheetPr codeName="Sheet81">
    <pageSetUpPr fitToPage="1"/>
  </sheetPr>
  <dimension ref="A1:Q70"/>
  <sheetViews>
    <sheetView showGridLines="0" workbookViewId="0" topLeftCell="A1">
      <selection activeCell="A2" sqref="A2:L2"/>
    </sheetView>
  </sheetViews>
  <sheetFormatPr defaultColWidth="11.421875" defaultRowHeight="12.75"/>
  <cols>
    <col min="1" max="1" width="3.8515625" style="6" customWidth="1"/>
    <col min="2" max="2" width="27.140625" style="6" customWidth="1"/>
    <col min="3" max="3" width="8.8515625" style="6" customWidth="1"/>
    <col min="4" max="7" width="11.421875" style="6" customWidth="1"/>
    <col min="8" max="8" width="18.00390625" style="6" customWidth="1"/>
    <col min="9" max="16384" width="11.421875" style="6" customWidth="1"/>
  </cols>
  <sheetData>
    <row r="1" spans="1:2" ht="23.25">
      <c r="A1" s="26"/>
      <c r="B1" s="7"/>
    </row>
    <row r="2" spans="1:12" ht="18.75" customHeight="1">
      <c r="A2" s="539" t="s">
        <v>62</v>
      </c>
      <c r="B2" s="539"/>
      <c r="C2" s="539"/>
      <c r="D2" s="539"/>
      <c r="E2" s="539"/>
      <c r="F2" s="539"/>
      <c r="G2" s="539"/>
      <c r="H2" s="539"/>
      <c r="I2" s="539"/>
      <c r="J2" s="539"/>
      <c r="K2" s="539"/>
      <c r="L2" s="539"/>
    </row>
    <row r="3" ht="7.5" customHeight="1">
      <c r="A3" s="26"/>
    </row>
    <row r="4" ht="15" customHeight="1">
      <c r="A4" s="31" t="s">
        <v>241</v>
      </c>
    </row>
    <row r="5" ht="7.5" customHeight="1">
      <c r="A5" s="26"/>
    </row>
    <row r="6" ht="15.75">
      <c r="A6" s="31" t="s">
        <v>242</v>
      </c>
    </row>
    <row r="7" ht="7.5" customHeight="1">
      <c r="A7" s="8"/>
    </row>
    <row r="8" ht="15.75">
      <c r="A8" s="31" t="s">
        <v>325</v>
      </c>
    </row>
    <row r="9" spans="1:7" ht="15" customHeight="1">
      <c r="A9" s="345" t="s">
        <v>226</v>
      </c>
      <c r="C9" s="346"/>
      <c r="D9" s="346"/>
      <c r="E9" s="346"/>
      <c r="F9" s="346"/>
      <c r="G9" s="346"/>
    </row>
    <row r="10" spans="1:7" ht="7.5" customHeight="1">
      <c r="A10" s="25"/>
      <c r="B10" s="346"/>
      <c r="C10" s="346"/>
      <c r="D10" s="346"/>
      <c r="E10" s="346"/>
      <c r="F10" s="346"/>
      <c r="G10" s="346"/>
    </row>
    <row r="11" ht="15.75">
      <c r="A11" s="31" t="s">
        <v>243</v>
      </c>
    </row>
    <row r="12" ht="7.5" customHeight="1">
      <c r="A12" s="26"/>
    </row>
    <row r="13" ht="15.75">
      <c r="A13" s="31" t="s">
        <v>58</v>
      </c>
    </row>
    <row r="14" spans="1:7" ht="15" customHeight="1">
      <c r="A14" s="28" t="str">
        <f>"The average for the province was based on land tax assessment and mill rates of a sample of municipalities growing crops less provincial tax rebate. "</f>
        <v>The average for the province was based on land tax assessment and mill rates of a sample of municipalities growing crops less provincial tax rebate. </v>
      </c>
      <c r="C14" s="346"/>
      <c r="D14" s="346"/>
      <c r="E14" s="346"/>
      <c r="F14" s="346"/>
      <c r="G14" s="346"/>
    </row>
    <row r="15" spans="1:7" ht="7.5" customHeight="1">
      <c r="A15" s="26"/>
      <c r="B15" s="346"/>
      <c r="C15" s="346"/>
      <c r="D15" s="346"/>
      <c r="E15" s="346"/>
      <c r="F15" s="346"/>
      <c r="G15" s="346"/>
    </row>
    <row r="16" spans="1:12" ht="15.75" customHeight="1">
      <c r="A16" s="540" t="s">
        <v>244</v>
      </c>
      <c r="B16" s="540"/>
      <c r="C16" s="540"/>
      <c r="D16" s="540"/>
      <c r="E16" s="540"/>
      <c r="F16" s="540"/>
      <c r="G16" s="540"/>
      <c r="H16" s="540"/>
      <c r="I16" s="540"/>
      <c r="J16" s="540"/>
      <c r="K16" s="540"/>
      <c r="L16" s="540"/>
    </row>
    <row r="17" spans="1:12" ht="15" customHeight="1">
      <c r="A17" s="540"/>
      <c r="B17" s="540"/>
      <c r="C17" s="540"/>
      <c r="D17" s="540"/>
      <c r="E17" s="540"/>
      <c r="F17" s="540"/>
      <c r="G17" s="540"/>
      <c r="H17" s="540"/>
      <c r="I17" s="540"/>
      <c r="J17" s="540"/>
      <c r="K17" s="540"/>
      <c r="L17" s="540"/>
    </row>
    <row r="18" spans="1:7" ht="7.5" customHeight="1">
      <c r="A18" s="25"/>
      <c r="B18" s="28"/>
      <c r="C18" s="346"/>
      <c r="D18" s="346"/>
      <c r="E18" s="346"/>
      <c r="F18" s="346"/>
      <c r="G18" s="346"/>
    </row>
    <row r="19" spans="1:3" ht="15" customHeight="1">
      <c r="A19" s="31" t="s">
        <v>59</v>
      </c>
      <c r="C19" s="8" t="str">
        <f>"Interest charges on operating costs are calculated at "&amp;'Op. Cost Input'!E3*100&amp;"% for six months."</f>
        <v>Interest charges on operating costs are calculated at 5.5% for six months.</v>
      </c>
    </row>
    <row r="20" ht="7.5" customHeight="1"/>
    <row r="21" spans="1:12" ht="15.75">
      <c r="A21" s="31" t="s">
        <v>60</v>
      </c>
      <c r="C21" s="494" t="str">
        <f>"Land values are based on appoxiamate average land values in Manitoba.  Budget assumed "&amp;'Fixed Cost Input'!D6*100&amp;"% return on land investment"</f>
        <v>Land values are based on appoxiamate average land values in Manitoba.  Budget assumed 2.5% return on land investment</v>
      </c>
      <c r="D21" s="494"/>
      <c r="E21" s="494"/>
      <c r="F21" s="494"/>
      <c r="G21" s="494"/>
      <c r="H21" s="494"/>
      <c r="I21" s="494"/>
      <c r="J21" s="494"/>
      <c r="K21" s="494"/>
      <c r="L21" s="494"/>
    </row>
    <row r="22" spans="1:12" ht="15" customHeight="1">
      <c r="A22" s="26"/>
      <c r="C22" s="494"/>
      <c r="D22" s="494"/>
      <c r="E22" s="494"/>
      <c r="F22" s="494"/>
      <c r="G22" s="494"/>
      <c r="H22" s="494"/>
      <c r="I22" s="494"/>
      <c r="J22" s="494"/>
      <c r="K22" s="494"/>
      <c r="L22" s="494"/>
    </row>
    <row r="23" spans="1:7" ht="7.5" customHeight="1">
      <c r="A23" s="26"/>
      <c r="B23" s="28"/>
      <c r="C23" s="347"/>
      <c r="D23" s="347"/>
      <c r="E23" s="347"/>
      <c r="F23" s="347"/>
      <c r="G23" s="347"/>
    </row>
    <row r="24" ht="15.75">
      <c r="A24" s="31" t="s">
        <v>245</v>
      </c>
    </row>
    <row r="25" ht="7.5" customHeight="1">
      <c r="A25" s="8"/>
    </row>
    <row r="26" spans="1:3" ht="15" customHeight="1">
      <c r="A26" s="31" t="s">
        <v>61</v>
      </c>
      <c r="C26" s="8" t="str">
        <f>"Assumed "&amp;'Fixed Cost Input'!D6*100&amp;"% opportunity cost on machinery."</f>
        <v>Assumed 2.5% opportunity cost on machinery.</v>
      </c>
    </row>
    <row r="27" ht="7.5" customHeight="1"/>
    <row r="28" ht="15.75">
      <c r="A28" s="31" t="s">
        <v>246</v>
      </c>
    </row>
    <row r="29" ht="7.5" customHeight="1">
      <c r="A29" s="8"/>
    </row>
    <row r="30" ht="15.75">
      <c r="A30" s="31" t="s">
        <v>64</v>
      </c>
    </row>
    <row r="31" ht="15">
      <c r="A31" s="8" t="str">
        <f>"Assumed a "&amp;('Fixed Cost Input'!D5*100)&amp;"% depreciation cost and "&amp;'Fixed Cost Input'!D6*100&amp;"% investment cost."</f>
        <v>Assumed a 10% depreciation cost and 2.5% investment cost.</v>
      </c>
    </row>
    <row r="32" spans="1:12" ht="15" customHeight="1">
      <c r="A32" s="494" t="str">
        <f>"Farm storage requirements were assumed to cost $"&amp;'Fixed Cost Input'!D9&amp;"/bushel for "&amp;'Fixed Cost Input'!C9*100&amp;"% of the storage and $"&amp;'Fixed Cost Input'!D10&amp;"/bushel for "&amp;'Fixed Cost Input'!C10*100&amp;"% aerated storage."</f>
        <v>Farm storage requirements were assumed to cost $1.85/bushel for 10% of the storage and $2.35/bushel for 90% aerated storage.</v>
      </c>
      <c r="B32" s="494"/>
      <c r="C32" s="494"/>
      <c r="D32" s="494"/>
      <c r="E32" s="494"/>
      <c r="F32" s="494"/>
      <c r="G32" s="494"/>
      <c r="H32" s="494"/>
      <c r="I32" s="494"/>
      <c r="J32" s="494"/>
      <c r="K32" s="494"/>
      <c r="L32" s="494"/>
    </row>
    <row r="33" ht="7.5" customHeight="1"/>
    <row r="34" ht="15">
      <c r="B34" s="27" t="s">
        <v>209</v>
      </c>
    </row>
    <row r="35" ht="7.5" customHeight="1"/>
    <row r="36" ht="15.75">
      <c r="B36" s="67" t="str">
        <f>"Non-Aeration Bins ("&amp;'Fixed Cost Input'!C9*100&amp;"%)"</f>
        <v>Non-Aeration Bins (10%)</v>
      </c>
    </row>
    <row r="37" ht="7.5" customHeight="1"/>
    <row r="38" ht="15">
      <c r="B38" s="8" t="str">
        <f>"Depreciation:                   $"&amp;TEXT('Fixed Cost Input'!D9*Production!K22,"0.00")&amp;"-$"&amp;'Fixed Cost Input'!D9*Production!K22*'Fixed Cost Input'!D5</f>
        <v>Depreciation:                   $55.50-$5.55</v>
      </c>
    </row>
    <row r="39" spans="2:5" ht="15">
      <c r="B39" s="8" t="s">
        <v>72</v>
      </c>
      <c r="C39" s="63"/>
      <c r="E39" s="6">
        <f>(('Fixed Cost Input'!D9*Production!K22)-('Fixed Cost Input'!D9*Production!K22*'Fixed Cost Input'!D5))/20</f>
        <v>2.4975</v>
      </c>
    </row>
    <row r="40" ht="7.5" customHeight="1"/>
    <row r="41" ht="15">
      <c r="B41" s="8" t="str">
        <f>"Investment:                       $"&amp;TEXT('Fixed Cost Input'!D9*Production!K22,"0.00")&amp;"-$"&amp;'Fixed Cost Input'!D9*Production!K22*'Fixed Cost Input'!D5</f>
        <v>Investment:                       $55.50-$5.55</v>
      </c>
    </row>
    <row r="42" spans="2:5" ht="15">
      <c r="B42" s="28" t="str">
        <f>"                                                       2        x  "&amp;('Fixed Cost Input'!D6*100)&amp;"%   ="</f>
        <v>                                                       2        x  2.5%   =</v>
      </c>
      <c r="C42" s="63"/>
      <c r="E42" s="6">
        <f>((('Fixed Cost Input'!D9*Production!K22)+('Fixed Cost Input'!D9*Production!K22*'Fixed Cost Input'!D5))/2)*'Fixed Cost Input'!D6</f>
        <v>0.763125</v>
      </c>
    </row>
    <row r="43" ht="7.5" customHeight="1"/>
    <row r="44" spans="2:7" ht="15.75">
      <c r="B44" s="8" t="s">
        <v>73</v>
      </c>
      <c r="E44" s="63">
        <f>SUM(E39+E42)</f>
        <v>3.260625</v>
      </c>
      <c r="F44" s="8" t="str">
        <f>" x "&amp;'Fixed Cost Input'!C9*100&amp;"%  = "</f>
        <v> x 10%  = </v>
      </c>
      <c r="G44" s="31">
        <f>E44*'Fixed Cost Input'!C9</f>
        <v>0.32606250000000003</v>
      </c>
    </row>
    <row r="45" ht="15.75">
      <c r="B45" s="67" t="str">
        <f>"Aeration Bins ("&amp;'Fixed Cost Input'!C10*100&amp;"%)"</f>
        <v>Aeration Bins (90%)</v>
      </c>
    </row>
    <row r="46" ht="7.5" customHeight="1"/>
    <row r="47" ht="15">
      <c r="B47" s="8" t="str">
        <f>"Depreciation:                   $"&amp;TEXT('Fixed Cost Input'!D10*Production!K22,"0.00")&amp;"-$"&amp;'Fixed Cost Input'!D10*Production!K22*'Fixed Cost Input'!D5</f>
        <v>Depreciation:                   $70.50-$7.05</v>
      </c>
    </row>
    <row r="48" spans="2:5" ht="15">
      <c r="B48" s="8" t="s">
        <v>72</v>
      </c>
      <c r="C48" s="63"/>
      <c r="E48" s="6">
        <f>(('Fixed Cost Input'!D10*Production!K22)-('Fixed Cost Input'!D10*Production!K22*'Fixed Cost Input'!D5))/20</f>
        <v>3.1725000000000003</v>
      </c>
    </row>
    <row r="49" ht="7.5" customHeight="1"/>
    <row r="50" ht="15">
      <c r="B50" s="8" t="str">
        <f>"Investment:                       $"&amp;TEXT('Fixed Cost Input'!D10*Production!K22,"0.00")&amp;"-$"&amp;'Fixed Cost Input'!D10*Production!K22*'Fixed Cost Input'!D5</f>
        <v>Investment:                       $70.50-$7.05</v>
      </c>
    </row>
    <row r="51" spans="2:5" ht="15">
      <c r="B51" s="28" t="str">
        <f>"                                                       2        x  "&amp;('Fixed Cost Input'!D6*100)&amp;"%   ="</f>
        <v>                                                       2        x  2.5%   =</v>
      </c>
      <c r="C51" s="63"/>
      <c r="E51" s="6">
        <f>((('Fixed Cost Input'!D10*Production!K22)+('Fixed Cost Input'!D10*Production!K22*'Fixed Cost Input'!D5))/2)*'Fixed Cost Input'!D6</f>
        <v>0.969375</v>
      </c>
    </row>
    <row r="52" ht="7.5" customHeight="1"/>
    <row r="53" spans="2:7" ht="15.75">
      <c r="B53" s="8" t="s">
        <v>73</v>
      </c>
      <c r="E53" s="63">
        <f>SUM(E48+E51)</f>
        <v>4.141875000000001</v>
      </c>
      <c r="F53" s="8" t="str">
        <f>" x "&amp;'Fixed Cost Input'!C10*100&amp;"%  = "</f>
        <v> x 90%  = </v>
      </c>
      <c r="G53" s="64">
        <f>E53*'Fixed Cost Input'!C10</f>
        <v>3.7276875000000005</v>
      </c>
    </row>
    <row r="54" spans="6:7" ht="15.75">
      <c r="F54" s="304" t="s">
        <v>227</v>
      </c>
      <c r="G54" s="472">
        <f>G53+G44</f>
        <v>4.053750000000001</v>
      </c>
    </row>
    <row r="55" spans="2:7" ht="7.5" customHeight="1">
      <c r="B55" s="8"/>
      <c r="F55" s="57"/>
      <c r="G55" s="65"/>
    </row>
    <row r="56" spans="1:7" ht="15.75">
      <c r="A56" s="67" t="s">
        <v>75</v>
      </c>
      <c r="F56" s="57"/>
      <c r="G56" s="57"/>
    </row>
    <row r="57" spans="1:8" ht="15">
      <c r="A57" s="268" t="str">
        <f>"Gross Revenue = Price per unit x Yield per acre  (eg. tall fescue:  $"&amp;TEXT(Summary!T46,"0.00")&amp;"/lb x "&amp;Summary!T47&amp;"lb/ac = $"&amp;TEXT(Summary!T49,"0.00")&amp;"/ac)"</f>
        <v>Gross Revenue = Price per unit x Yield per acre  (eg. tall fescue:  $0.50/lb x 750lb/ac = $375.00/ac)</v>
      </c>
      <c r="C57" s="57"/>
      <c r="D57" s="57"/>
      <c r="E57" s="57"/>
      <c r="F57" s="57"/>
      <c r="G57" s="57"/>
      <c r="H57" s="57"/>
    </row>
    <row r="58" spans="2:8" ht="7.5" customHeight="1">
      <c r="B58" s="268"/>
      <c r="C58" s="57"/>
      <c r="D58" s="57"/>
      <c r="E58" s="57"/>
      <c r="F58" s="57"/>
      <c r="G58" s="57"/>
      <c r="H58" s="57"/>
    </row>
    <row r="59" spans="1:8" ht="15">
      <c r="A59" s="268" t="s">
        <v>76</v>
      </c>
      <c r="C59" s="57"/>
      <c r="D59" s="268" t="str">
        <f>"(eg. tall fescue: $"&amp;TEXT(Summary!T49,"0.00")&amp;" gross revenue - $"&amp;TEXT(Summary!T41,"0.00")&amp;" total cost = $"&amp;TEXT(Summary!T53,"0.00")&amp;" per acre)"</f>
        <v>(eg. tall fescue: $375.00 gross revenue - $366.88 total cost = $8.12 per acre)</v>
      </c>
      <c r="E59" s="57"/>
      <c r="F59" s="57"/>
      <c r="G59" s="57"/>
      <c r="H59" s="57"/>
    </row>
    <row r="60" spans="2:8" ht="7.5" customHeight="1">
      <c r="B60" s="268"/>
      <c r="C60" s="57"/>
      <c r="D60" s="57"/>
      <c r="E60" s="57"/>
      <c r="F60" s="57"/>
      <c r="G60" s="57"/>
      <c r="H60" s="57"/>
    </row>
    <row r="61" spans="1:8" ht="15" customHeight="1">
      <c r="A61" s="68" t="s">
        <v>78</v>
      </c>
      <c r="C61" s="57"/>
      <c r="D61" s="57"/>
      <c r="E61" s="57"/>
      <c r="F61" s="57"/>
      <c r="G61" s="268" t="str">
        <f>"(eg. tall fescue: $"&amp;TEXT(Summary!T29,"0.00")&amp;" operating expense / $"&amp;Summary!T49&amp;" total cost = "&amp;TEXT(Summary!T54*100,"0.0")&amp;"%)"</f>
        <v>(eg. tall fescue: $223.56 operating expense / $375 total cost = 59.6%)</v>
      </c>
      <c r="H61" s="57"/>
    </row>
    <row r="62" spans="2:8" ht="7.5" customHeight="1">
      <c r="B62" s="268"/>
      <c r="C62" s="57"/>
      <c r="D62" s="57"/>
      <c r="E62" s="57"/>
      <c r="F62" s="57"/>
      <c r="G62" s="57"/>
      <c r="H62" s="57"/>
    </row>
    <row r="63" spans="1:8" ht="15">
      <c r="A63" s="268" t="str">
        <f>"Breakeven Price = Cost / Target Yield  (eg. tall fescue cost $"&amp;TEXT(Summary!T41,"0.00")&amp;"  / "&amp;Summary!T47&amp;" lb = $"&amp;TEXT(Summary!T58,"0.00")&amp;" per lb)"</f>
        <v>Breakeven Price = Cost / Target Yield  (eg. tall fescue cost $366.88  / 750 lb = $0.49 per lb)</v>
      </c>
      <c r="C63" s="57"/>
      <c r="D63" s="57"/>
      <c r="E63" s="57"/>
      <c r="F63" s="57"/>
      <c r="G63" s="57"/>
      <c r="H63" s="57"/>
    </row>
    <row r="64" spans="1:8" ht="7.5" customHeight="1">
      <c r="A64" s="268"/>
      <c r="C64" s="57"/>
      <c r="D64" s="57"/>
      <c r="E64" s="57"/>
      <c r="F64" s="57"/>
      <c r="G64" s="57"/>
      <c r="H64" s="57"/>
    </row>
    <row r="65" spans="1:8" ht="15">
      <c r="A65" s="268" t="str">
        <f>"Breakeven Yield = Cost / Price per Unit  (eg. tall fescue cost $"&amp;TEXT(Summary!T41,"0.00")&amp;"  / $"&amp;TEXT(Summary!T46,"0.00")&amp;" lb = "&amp;TEXT(Summary!T62,"0")&amp;" lb)"</f>
        <v>Breakeven Yield = Cost / Price per Unit  (eg. tall fescue cost $366.88  / $0.50 lb = 734 lb)</v>
      </c>
      <c r="C65" s="57"/>
      <c r="D65" s="57"/>
      <c r="E65" s="57"/>
      <c r="F65" s="57"/>
      <c r="G65" s="57"/>
      <c r="H65" s="57"/>
    </row>
    <row r="66" spans="1:8" ht="15">
      <c r="A66" s="268"/>
      <c r="C66" s="57"/>
      <c r="D66" s="57"/>
      <c r="E66" s="57"/>
      <c r="F66" s="57"/>
      <c r="G66" s="57"/>
      <c r="H66" s="57"/>
    </row>
    <row r="67" spans="1:17" ht="18" customHeight="1">
      <c r="A67" s="305" t="s">
        <v>327</v>
      </c>
      <c r="B67" s="305"/>
      <c r="C67" s="305"/>
      <c r="D67" s="305"/>
      <c r="E67" s="479"/>
      <c r="F67" s="480"/>
      <c r="G67" s="480"/>
      <c r="H67" s="488"/>
      <c r="I67" s="488"/>
      <c r="J67" s="310"/>
      <c r="K67" s="480"/>
      <c r="L67" s="481" t="s">
        <v>326</v>
      </c>
      <c r="O67" s="482"/>
      <c r="P67" s="483"/>
      <c r="Q67" s="483"/>
    </row>
    <row r="68" spans="1:17" ht="21" customHeight="1">
      <c r="A68" s="484" t="s">
        <v>228</v>
      </c>
      <c r="B68" s="485"/>
      <c r="C68" s="486"/>
      <c r="D68" s="486"/>
      <c r="E68" s="486"/>
      <c r="F68" s="487"/>
      <c r="O68" s="482"/>
      <c r="P68" s="483"/>
      <c r="Q68" s="483"/>
    </row>
    <row r="69" spans="1:5" s="316" customFormat="1" ht="15">
      <c r="A69" s="315" t="s">
        <v>71</v>
      </c>
      <c r="E69" s="336" t="s">
        <v>231</v>
      </c>
    </row>
    <row r="70" spans="1:5" s="101" customFormat="1" ht="14.25">
      <c r="A70" s="268" t="s">
        <v>328</v>
      </c>
      <c r="E70" s="101" t="s">
        <v>232</v>
      </c>
    </row>
  </sheetData>
  <sheetProtection password="C6A6" sheet="1"/>
  <mergeCells count="5">
    <mergeCell ref="A2:L2"/>
    <mergeCell ref="A16:L17"/>
    <mergeCell ref="C21:L22"/>
    <mergeCell ref="A32:L32"/>
  </mergeCells>
  <hyperlinks>
    <hyperlink ref="E69" r:id="rId1" display="Derrick Chomokovski "/>
    <hyperlink ref="A69" r:id="rId2" display="Roy Arnott"/>
  </hyperlinks>
  <printOptions/>
  <pageMargins left="0.7480314960629921" right="0.7480314960629921" top="0.8661417322834646" bottom="0.984251968503937" header="0.5118110236220472" footer="0.5118110236220472"/>
  <pageSetup firstPageNumber="11" useFirstPageNumber="1" fitToHeight="1" fitToWidth="1" horizontalDpi="300" verticalDpi="300" orientation="portrait" scale="61" r:id="rId4"/>
  <headerFooter scaleWithDoc="0" alignWithMargins="0">
    <oddHeader>&amp;L&amp;8Guidelines: Forage Seed Production Costs
&amp;R&amp;8&amp;P</oddHeader>
    <oddFooter>&amp;R&amp;9Manitoba Agriculture, Food and Rural Development</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Caron, Dan  (MAFRI)</dc:creator>
  <cp:keywords/>
  <dc:description/>
  <cp:lastModifiedBy>Roy Arnott</cp:lastModifiedBy>
  <cp:lastPrinted>2015-11-12T16:48:04Z</cp:lastPrinted>
  <dcterms:created xsi:type="dcterms:W3CDTF">1998-11-19T15:06:11Z</dcterms:created>
  <dcterms:modified xsi:type="dcterms:W3CDTF">2015-11-24T21:22:23Z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46</vt:lpwstr>
  </property>
  <property fmtid="{D5CDD505-2E9C-101B-9397-08002B2CF9AE}" pid="3" name="ContentType">
    <vt:lpwstr>Document</vt:lpwstr>
  </property>
  <property fmtid="{D5CDD505-2E9C-101B-9397-08002B2CF9AE}" pid="4" name="Category">
    <vt:lpwstr>Programs</vt:lpwstr>
  </property>
  <property fmtid="{D5CDD505-2E9C-101B-9397-08002B2CF9AE}" pid="5" name="PublishingExpirationDate">
    <vt:lpwstr/>
  </property>
  <property fmtid="{D5CDD505-2E9C-101B-9397-08002B2CF9AE}" pid="6" name="PublishingStartDate">
    <vt:lpwstr/>
  </property>
  <property fmtid="{D5CDD505-2E9C-101B-9397-08002B2CF9AE}" pid="7" name="xd_Signature">
    <vt:lpwstr/>
  </property>
  <property fmtid="{D5CDD505-2E9C-101B-9397-08002B2CF9AE}" pid="8" name="TemplateUrl">
    <vt:lpwstr/>
  </property>
  <property fmtid="{D5CDD505-2E9C-101B-9397-08002B2CF9AE}" pid="9" name="xd_ProgID">
    <vt:lpwstr/>
  </property>
  <property fmtid="{D5CDD505-2E9C-101B-9397-08002B2CF9AE}" pid="10" name="ContentTypeId">
    <vt:lpwstr>0x010100ACAADE3355E29C4E95B09CD45679A285</vt:lpwstr>
  </property>
  <property fmtid="{D5CDD505-2E9C-101B-9397-08002B2CF9AE}" pid="11" name="_SourceUrl">
    <vt:lpwstr/>
  </property>
  <property fmtid="{D5CDD505-2E9C-101B-9397-08002B2CF9AE}" pid="12" name="_SharedFileIndex">
    <vt:lpwstr/>
  </property>
</Properties>
</file>