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85" activeTab="0"/>
  </bookViews>
  <sheets>
    <sheet name="Introduction" sheetId="1" r:id="rId1"/>
    <sheet name="Summary" sheetId="2" r:id="rId2"/>
    <sheet name="Input" sheetId="3" r:id="rId3"/>
    <sheet name="Details" sheetId="4" r:id="rId4"/>
  </sheets>
  <definedNames>
    <definedName name="_xlnm.Print_Area" localSheetId="3">'Details'!$A$1:$K$240</definedName>
    <definedName name="_xlnm.Print_Area" localSheetId="2">'Input'!$A$1:$H$58</definedName>
    <definedName name="_xlnm.Print_Area" localSheetId="0">'Introduction'!$A$1:$J$38</definedName>
  </definedNames>
  <calcPr fullCalcOnLoad="1"/>
</workbook>
</file>

<file path=xl/comments3.xml><?xml version="1.0" encoding="utf-8"?>
<comments xmlns="http://schemas.openxmlformats.org/spreadsheetml/2006/main">
  <authors>
    <author>Government of Manitoba</author>
  </authors>
  <commentList>
    <comment ref="E56" authorId="0">
      <text>
        <r>
          <rPr>
            <sz val="8"/>
            <rFont val="Tahoma"/>
            <family val="2"/>
          </rPr>
          <t xml:space="preserve">Insert storage cost such as hay shed, tarp, etc.
</t>
        </r>
      </text>
    </comment>
  </commentList>
</comments>
</file>

<file path=xl/sharedStrings.xml><?xml version="1.0" encoding="utf-8"?>
<sst xmlns="http://schemas.openxmlformats.org/spreadsheetml/2006/main" count="441" uniqueCount="184">
  <si>
    <t xml:space="preserve">    Sub-total Operating Cost</t>
  </si>
  <si>
    <t xml:space="preserve">  %</t>
  </si>
  <si>
    <t xml:space="preserve">Investment interest rate </t>
  </si>
  <si>
    <t>x</t>
  </si>
  <si>
    <t>÷</t>
  </si>
  <si>
    <t>=</t>
  </si>
  <si>
    <t>+</t>
  </si>
  <si>
    <t>subtotal operating</t>
  </si>
  <si>
    <t>average</t>
  </si>
  <si>
    <t>interest rate</t>
  </si>
  <si>
    <t>investment rate</t>
  </si>
  <si>
    <t>salvage value</t>
  </si>
  <si>
    <t>storage investment</t>
  </si>
  <si>
    <t>-</t>
  </si>
  <si>
    <t>A.  Operating Costs</t>
  </si>
  <si>
    <t xml:space="preserve">    Total Operating Costs</t>
  </si>
  <si>
    <t>B.  Fixed Costs</t>
  </si>
  <si>
    <t>Total Cost of Production</t>
  </si>
  <si>
    <t>Your Cost</t>
  </si>
  <si>
    <t xml:space="preserve">    Total Fixed Costs</t>
  </si>
  <si>
    <t>Guidelines for Estimating</t>
  </si>
  <si>
    <t>tons/acre</t>
  </si>
  <si>
    <t xml:space="preserve"> Capital Costs</t>
  </si>
  <si>
    <t>Salvage</t>
  </si>
  <si>
    <t>Total Acres</t>
  </si>
  <si>
    <t>acres</t>
  </si>
  <si>
    <t>Interest on Operating</t>
  </si>
  <si>
    <t>Total Capital Investment</t>
  </si>
  <si>
    <t>Storage</t>
  </si>
  <si>
    <t xml:space="preserve"> acres</t>
  </si>
  <si>
    <t>Land</t>
  </si>
  <si>
    <t>$/acre</t>
  </si>
  <si>
    <t xml:space="preserve"> $/acre</t>
  </si>
  <si>
    <t>Capital Costs</t>
  </si>
  <si>
    <t>Assumptions</t>
  </si>
  <si>
    <t>years useful life</t>
  </si>
  <si>
    <t>Date:</t>
  </si>
  <si>
    <t>2.0 Depreciation</t>
  </si>
  <si>
    <t>3.0 Investment</t>
  </si>
  <si>
    <r>
      <t>Disclaimer</t>
    </r>
    <r>
      <rPr>
        <sz val="10"/>
        <rFont val="Arial"/>
        <family val="2"/>
      </rPr>
      <t>: This budget is only a guide and is not intended as an in depth study of the cost of production of this industry. Interpretation and utilization of this information is the responsibility of the user.</t>
    </r>
  </si>
  <si>
    <t xml:space="preserve">    Pick up, load, unload &amp; stack</t>
  </si>
  <si>
    <t>bale weight (lbs)</t>
  </si>
  <si>
    <t>$/bale</t>
  </si>
  <si>
    <t>$ /acre</t>
  </si>
  <si>
    <t>% rate of investment</t>
  </si>
  <si>
    <t>percentage rate</t>
  </si>
  <si>
    <t>investment/acre</t>
  </si>
  <si>
    <t>Useful</t>
  </si>
  <si>
    <t>Cost/Acre</t>
  </si>
  <si>
    <t>Life</t>
  </si>
  <si>
    <t>Value</t>
  </si>
  <si>
    <t>Storage Investment</t>
  </si>
  <si>
    <t xml:space="preserve">Market </t>
  </si>
  <si>
    <t>Allocated</t>
  </si>
  <si>
    <t xml:space="preserve">% Allocated </t>
  </si>
  <si>
    <t xml:space="preserve">   2. Depreciation</t>
  </si>
  <si>
    <t>3.  Investment</t>
  </si>
  <si>
    <t>lbs/ton</t>
  </si>
  <si>
    <t xml:space="preserve"> $/bale</t>
  </si>
  <si>
    <t xml:space="preserve"> lbs</t>
  </si>
  <si>
    <t>Repairs &amp; Maintenance</t>
  </si>
  <si>
    <t>Interest</t>
  </si>
  <si>
    <t>$/ton</t>
  </si>
  <si>
    <t xml:space="preserve">   Miscellaneous Costs </t>
  </si>
  <si>
    <t>Average round bale weight (lbs)</t>
  </si>
  <si>
    <t>Biomass</t>
  </si>
  <si>
    <t>to Biomass</t>
  </si>
  <si>
    <t>$/mile</t>
  </si>
  <si>
    <t xml:space="preserve">      Hauling - average miles per load</t>
  </si>
  <si>
    <t>miles</t>
  </si>
  <si>
    <t xml:space="preserve">      Hauling - custom rate per loaded mile</t>
  </si>
  <si>
    <t xml:space="preserve">      Hauling - average bales per load</t>
  </si>
  <si>
    <t>bales</t>
  </si>
  <si>
    <t>miles per load</t>
  </si>
  <si>
    <t>bales/load</t>
  </si>
  <si>
    <t>tons/load</t>
  </si>
  <si>
    <t>$/load</t>
  </si>
  <si>
    <t>Roy Arnott</t>
  </si>
  <si>
    <r>
      <t>Miscellaneous</t>
    </r>
    <r>
      <rPr>
        <sz val="12"/>
        <rFont val="Arial"/>
        <family val="2"/>
      </rPr>
      <t xml:space="preserve"> </t>
    </r>
  </si>
  <si>
    <t>Straw Yield</t>
  </si>
  <si>
    <t>tons straw per acre</t>
  </si>
  <si>
    <t xml:space="preserve">   Total </t>
  </si>
  <si>
    <t>tons of straw produced</t>
  </si>
  <si>
    <t xml:space="preserve">Producer Markup </t>
  </si>
  <si>
    <t xml:space="preserve">      (Risk, management, and profit margin)</t>
  </si>
  <si>
    <t>Custom Rates</t>
  </si>
  <si>
    <t xml:space="preserve">       Baling - custom rate ($/bale)</t>
  </si>
  <si>
    <t xml:space="preserve">       Pickup, load, unload and stack - ($/bale)</t>
  </si>
  <si>
    <t>*Investment in straw biomass includes storage.</t>
  </si>
  <si>
    <t xml:space="preserve">   2.01 Storage</t>
  </si>
  <si>
    <t xml:space="preserve">    3.01 Storage</t>
  </si>
  <si>
    <t xml:space="preserve">    2.01 Storage</t>
  </si>
  <si>
    <t>Energy Cost Comparisons</t>
  </si>
  <si>
    <t>kWh</t>
  </si>
  <si>
    <t>kWhr</t>
  </si>
  <si>
    <t>MB Hydro residential rate</t>
  </si>
  <si>
    <t>Heat</t>
  </si>
  <si>
    <t>Efficiency</t>
  </si>
  <si>
    <t>Average bale moisture content</t>
  </si>
  <si>
    <t>%</t>
  </si>
  <si>
    <t>ton</t>
  </si>
  <si>
    <t>Coal - lignite</t>
  </si>
  <si>
    <t>C.  Energy Cost Comparison</t>
  </si>
  <si>
    <t>Btu per pound</t>
  </si>
  <si>
    <t>dry matter content</t>
  </si>
  <si>
    <t>Btu per pound (as received)</t>
  </si>
  <si>
    <t>Pounds per ton</t>
  </si>
  <si>
    <t>Million Btu per ton</t>
  </si>
  <si>
    <t>Heat Efficiency</t>
  </si>
  <si>
    <t>Total Btu per ton</t>
  </si>
  <si>
    <t>Net Btu per ton</t>
  </si>
  <si>
    <t>Cost per ton</t>
  </si>
  <si>
    <t>per Million Btu</t>
  </si>
  <si>
    <t>Btu per kWh</t>
  </si>
  <si>
    <t>kWh per ton</t>
  </si>
  <si>
    <t>per kWh</t>
  </si>
  <si>
    <t>Producer Margin</t>
  </si>
  <si>
    <t>Cost of Production per ton</t>
  </si>
  <si>
    <t>Energy Cost Comparison</t>
  </si>
  <si>
    <t>Per kWh</t>
  </si>
  <si>
    <t>Million Btu</t>
  </si>
  <si>
    <t>Breakeven Biomass Value</t>
  </si>
  <si>
    <t>Cost per unit</t>
  </si>
  <si>
    <t>Btu per unit</t>
  </si>
  <si>
    <t>lb.</t>
  </si>
  <si>
    <t>Btu per cubic meter</t>
  </si>
  <si>
    <t>Net Btu per cubic meter</t>
  </si>
  <si>
    <t>Cost per cubic meter</t>
  </si>
  <si>
    <t>kWh per cubic meter</t>
  </si>
  <si>
    <t xml:space="preserve"> 4.03 Coal - Lignite</t>
  </si>
  <si>
    <t>Per</t>
  </si>
  <si>
    <t>Flax Straw Biomass Production Costs</t>
  </si>
  <si>
    <t>Flax Straw per Ton</t>
  </si>
  <si>
    <t>Flax Straw Biomass Cost of Production Input Assumptions</t>
  </si>
  <si>
    <t>Straw Production</t>
  </si>
  <si>
    <t>straw yield per acre</t>
  </si>
  <si>
    <t>tons</t>
  </si>
  <si>
    <t xml:space="preserve">   Flax straw cube production </t>
  </si>
  <si>
    <t>Flax straw - dry basis</t>
  </si>
  <si>
    <r>
      <t xml:space="preserve">    1.01  Custom Baling </t>
    </r>
    <r>
      <rPr>
        <vertAlign val="superscript"/>
        <sz val="12"/>
        <rFont val="Arial"/>
        <family val="2"/>
      </rPr>
      <t>1</t>
    </r>
  </si>
  <si>
    <r>
      <t xml:space="preserve">    1.02  Custom Field Moving </t>
    </r>
    <r>
      <rPr>
        <vertAlign val="superscript"/>
        <sz val="12"/>
        <rFont val="Arial"/>
        <family val="2"/>
      </rPr>
      <t>2</t>
    </r>
  </si>
  <si>
    <r>
      <t xml:space="preserve">    1.03  Custom Hauling </t>
    </r>
    <r>
      <rPr>
        <vertAlign val="superscript"/>
        <sz val="12"/>
        <rFont val="Arial"/>
        <family val="2"/>
      </rPr>
      <t>3</t>
    </r>
  </si>
  <si>
    <t xml:space="preserve">    1.04  Repairs &amp; Maintenance</t>
  </si>
  <si>
    <t xml:space="preserve">    1.05  Miscellaneous</t>
  </si>
  <si>
    <t xml:space="preserve">    1.06 Interest on Operating</t>
  </si>
  <si>
    <t xml:space="preserve"> 4.01 Flax Straw</t>
  </si>
  <si>
    <t xml:space="preserve"> 4.02 Flax Straw Cubes</t>
  </si>
  <si>
    <t>Flax Straw cube production per ton</t>
  </si>
  <si>
    <t>Flax Straw Biomass Cost of Production Worksheet</t>
  </si>
  <si>
    <t>1.01  Custom Baling Costs</t>
  </si>
  <si>
    <t>1.02  Custom Field Moving Costs</t>
  </si>
  <si>
    <t>1.03  Custom Hauling Costs</t>
  </si>
  <si>
    <t>1.04  Repairs &amp; Maintenance</t>
  </si>
  <si>
    <t>1.05 Miscellaneous</t>
  </si>
  <si>
    <t>1.06 Interest on operating costs</t>
  </si>
  <si>
    <t>Natural gas - high efficiency</t>
  </si>
  <si>
    <t>Natural gas - low efficiency</t>
  </si>
  <si>
    <t xml:space="preserve">  Average coal moisture content</t>
  </si>
  <si>
    <t xml:space="preserve"> -High Efficiency</t>
  </si>
  <si>
    <t xml:space="preserve"> 4.07 Natural Gas</t>
  </si>
  <si>
    <t xml:space="preserve"> -Low Efficiency</t>
  </si>
  <si>
    <t>Wood pellets</t>
  </si>
  <si>
    <t>Oats (grain - 34 lb. bushel)</t>
  </si>
  <si>
    <t>bushel</t>
  </si>
  <si>
    <t xml:space="preserve"> 4.04 Wood Pellets</t>
  </si>
  <si>
    <t xml:space="preserve">  Wood pellet moisture content</t>
  </si>
  <si>
    <t xml:space="preserve">  Oat grain moisture content</t>
  </si>
  <si>
    <t xml:space="preserve"> 4.05 Oats - grain</t>
  </si>
  <si>
    <r>
      <t>m</t>
    </r>
    <r>
      <rPr>
        <vertAlign val="superscript"/>
        <sz val="12"/>
        <rFont val="Arial"/>
        <family val="2"/>
      </rPr>
      <t>3</t>
    </r>
  </si>
  <si>
    <t xml:space="preserve"> 4.06 Manitoba Hydro</t>
  </si>
  <si>
    <t xml:space="preserve"> 4.08 Natural Gas</t>
  </si>
  <si>
    <t xml:space="preserve">These budgets may be adjusted by putting in your own figures.  As a producer you are encouraged to calculate your own costs of production for various crops. On each farm, costs and yields differ due to soil type, climate and agronomic practices.  </t>
  </si>
  <si>
    <t xml:space="preserve">This tool is available as an Excel worksheet at: </t>
  </si>
  <si>
    <t>or at your local</t>
  </si>
  <si>
    <t>. . . . . . . . . . . . . . . . . . . . . . . . . . . . . . . . . . . . . . . . . . . . . .</t>
  </si>
  <si>
    <t>5. The budget is based on a round bale production system with outside storage.</t>
  </si>
  <si>
    <t xml:space="preserve">For more information, contact your local </t>
  </si>
  <si>
    <t xml:space="preserve">Created and maintained by </t>
  </si>
  <si>
    <t xml:space="preserve">Farm Management Specialist         </t>
  </si>
  <si>
    <t>January, 2017</t>
  </si>
  <si>
    <t>The following budgets are estimates of the cost of producing flax straw biomass in Manitoba.  General Manitoba Agriculture recommendations are assumed in using fertilizers and chemical inputs.  These figures provide an economic evaluation of flax straw biomass and estimated prices required to cover all costs.  Costs include labour, investment and depreciation, but do not include management costs, nor do they necessarily represent the average cost of production in Manitoba.</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</si>
  <si>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your local Manitoba Agriculture GO Office.</t>
    </r>
  </si>
  <si>
    <t>determine machinery costs.</t>
  </si>
  <si>
    <t xml:space="preserve">                                                                              is also available to help</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</si>
</sst>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0\ ;\(&quot;$&quot;#,##0.000\)"/>
    <numFmt numFmtId="173" formatCode="#,##0.0"/>
    <numFmt numFmtId="174" formatCode="0.0%"/>
    <numFmt numFmtId="175" formatCode="&quot;$&quot;#,##0.00"/>
    <numFmt numFmtId="176" formatCode="mmmm/yy"/>
    <numFmt numFmtId="177" formatCode="mmmm/yyyy"/>
    <numFmt numFmtId="178" formatCode="0.0"/>
    <numFmt numFmtId="179" formatCode="&quot;$&quot;#,##0.00\ ;\(&quot;$&quot;#,##0.00\)"/>
    <numFmt numFmtId="180" formatCode="&quot;$&quot;#,##0"/>
    <numFmt numFmtId="181" formatCode="&quot;$&quot;#,##0.0"/>
    <numFmt numFmtId="182" formatCode="&quot;$&quot;#,##0.000"/>
    <numFmt numFmtId="183" formatCode="#,##0.0000"/>
    <numFmt numFmtId="184" formatCode="&quot;$&quot;#,##0.0;\-&quot;$&quot;#,##0.0"/>
    <numFmt numFmtId="185" formatCode="m/d"/>
    <numFmt numFmtId="186" formatCode="d/mmm"/>
    <numFmt numFmtId="187" formatCode="d/mmm/yy"/>
    <numFmt numFmtId="188" formatCode="#,##0.000"/>
    <numFmt numFmtId="189" formatCode="&quot;$&quot;#,##0.0000"/>
    <numFmt numFmtId="190" formatCode="&quot;$&quot;#,##0.00000"/>
    <numFmt numFmtId="191" formatCode="0.000"/>
  </numFmts>
  <fonts count="84">
    <font>
      <sz val="10"/>
      <name val="Arial"/>
      <family val="0"/>
    </font>
    <font>
      <sz val="12"/>
      <name val="Arial"/>
      <family val="2"/>
    </font>
    <font>
      <b/>
      <sz val="12"/>
      <name val="Arial"/>
      <family val="2"/>
    </font>
    <font>
      <u val="single"/>
      <sz val="12"/>
      <name val="Arial"/>
      <family val="2"/>
    </font>
    <font>
      <b/>
      <u val="single"/>
      <sz val="12"/>
      <name val="Arial"/>
      <family val="2"/>
    </font>
    <font>
      <b/>
      <sz val="14"/>
      <color indexed="18"/>
      <name val="Arial"/>
      <family val="2"/>
    </font>
    <font>
      <sz val="10"/>
      <color indexed="18"/>
      <name val="Arial"/>
      <family val="2"/>
    </font>
    <font>
      <b/>
      <sz val="12"/>
      <color indexed="12"/>
      <name val="Arial"/>
      <family val="2"/>
    </font>
    <font>
      <b/>
      <sz val="12"/>
      <color indexed="18"/>
      <name val="Arial"/>
      <family val="2"/>
    </font>
    <font>
      <b/>
      <sz val="24"/>
      <color indexed="17"/>
      <name val="Arial"/>
      <family val="2"/>
    </font>
    <font>
      <sz val="18"/>
      <color indexed="17"/>
      <name val="Arial"/>
      <family val="2"/>
    </font>
    <font>
      <sz val="10"/>
      <color indexed="17"/>
      <name val="Arial"/>
      <family val="2"/>
    </font>
    <font>
      <b/>
      <sz val="12"/>
      <name val="Antique Olive"/>
      <family val="2"/>
    </font>
    <font>
      <sz val="12"/>
      <name val="WP Phonetic"/>
      <family val="2"/>
    </font>
    <font>
      <b/>
      <sz val="18"/>
      <color indexed="17"/>
      <name val="Arial"/>
      <family val="2"/>
    </font>
    <font>
      <b/>
      <sz val="10"/>
      <name val="Arial"/>
      <family val="2"/>
    </font>
    <font>
      <sz val="8"/>
      <name val="Tahoma"/>
      <family val="2"/>
    </font>
    <font>
      <b/>
      <sz val="16"/>
      <name val="Arial"/>
      <family val="2"/>
    </font>
    <font>
      <sz val="16"/>
      <name val="Arial"/>
      <family val="2"/>
    </font>
    <font>
      <b/>
      <sz val="14"/>
      <name val="Arial"/>
      <family val="2"/>
    </font>
    <font>
      <sz val="14"/>
      <name val="Arial"/>
      <family val="2"/>
    </font>
    <font>
      <b/>
      <sz val="9"/>
      <name val="Arial"/>
      <family val="2"/>
    </font>
    <font>
      <vertAlign val="superscript"/>
      <sz val="12"/>
      <name val="Arial"/>
      <family val="2"/>
    </font>
    <font>
      <sz val="8"/>
      <name val="Arial"/>
      <family val="2"/>
    </font>
    <font>
      <b/>
      <sz val="10"/>
      <color indexed="12"/>
      <name val="Arial"/>
      <family val="2"/>
    </font>
    <font>
      <sz val="12"/>
      <color indexed="10"/>
      <name val="Arial"/>
      <family val="2"/>
    </font>
    <font>
      <b/>
      <sz val="11"/>
      <color indexed="18"/>
      <name val="Arial"/>
      <family val="2"/>
    </font>
    <font>
      <sz val="11"/>
      <color indexed="18"/>
      <name val="Arial"/>
      <family val="2"/>
    </font>
    <font>
      <sz val="16"/>
      <color indexed="18"/>
      <name val="Arial"/>
      <family val="2"/>
    </font>
    <font>
      <b/>
      <sz val="20"/>
      <color indexed="18"/>
      <name val="Arial"/>
      <family val="2"/>
    </font>
    <font>
      <sz val="11"/>
      <name val="Arial"/>
      <family val="2"/>
    </font>
    <font>
      <b/>
      <sz val="11"/>
      <name val="Arial"/>
      <family val="2"/>
    </font>
    <font>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12"/>
      <name val="Arial"/>
      <family val="2"/>
    </font>
    <font>
      <b/>
      <sz val="12"/>
      <color indexed="8"/>
      <name val="Arial"/>
      <family val="2"/>
    </font>
    <font>
      <b/>
      <sz val="10"/>
      <color indexed="8"/>
      <name val="Arial"/>
      <family val="2"/>
    </font>
    <font>
      <b/>
      <u val="single"/>
      <sz val="12"/>
      <color indexed="12"/>
      <name val="Arial"/>
      <family val="2"/>
    </font>
    <font>
      <b/>
      <sz val="14"/>
      <color indexed="9"/>
      <name val="Arial"/>
      <family val="2"/>
    </font>
    <font>
      <sz val="10"/>
      <color indexed="9"/>
      <name val="Arial"/>
      <family val="2"/>
    </font>
    <font>
      <i/>
      <u val="single"/>
      <sz val="14"/>
      <color indexed="12"/>
      <name val="Arial"/>
      <family val="0"/>
    </font>
    <font>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0"/>
      <name val="Arial"/>
      <family val="2"/>
    </font>
    <font>
      <b/>
      <sz val="12"/>
      <color theme="1"/>
      <name val="Arial"/>
      <family val="2"/>
    </font>
    <font>
      <b/>
      <sz val="10"/>
      <color theme="1"/>
      <name val="Arial"/>
      <family val="2"/>
    </font>
    <font>
      <b/>
      <u val="single"/>
      <sz val="12"/>
      <color rgb="FF0000FF"/>
      <name val="Arial"/>
      <family val="2"/>
    </font>
    <font>
      <b/>
      <sz val="14"/>
      <color theme="0"/>
      <name val="Arial"/>
      <family val="2"/>
    </font>
    <font>
      <sz val="10"/>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175" fontId="1" fillId="0" borderId="0">
      <alignment vertical="top"/>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37">
    <xf numFmtId="0" fontId="0" fillId="0" borderId="0" xfId="0" applyAlignment="1">
      <alignment/>
    </xf>
    <xf numFmtId="0" fontId="1" fillId="0" borderId="0" xfId="0" applyFont="1" applyAlignment="1">
      <alignment/>
    </xf>
    <xf numFmtId="0" fontId="2" fillId="0" borderId="0" xfId="0" applyFont="1" applyAlignment="1">
      <alignment/>
    </xf>
    <xf numFmtId="175" fontId="1" fillId="0" borderId="0" xfId="0" applyNumberFormat="1" applyFont="1" applyAlignment="1">
      <alignment/>
    </xf>
    <xf numFmtId="175" fontId="3" fillId="0" borderId="0" xfId="0" applyNumberFormat="1" applyFont="1" applyAlignment="1">
      <alignment/>
    </xf>
    <xf numFmtId="175" fontId="2" fillId="0" borderId="0" xfId="0" applyNumberFormat="1" applyFont="1" applyAlignment="1">
      <alignment/>
    </xf>
    <xf numFmtId="0" fontId="1" fillId="0" borderId="0" xfId="0" applyFont="1" applyAlignment="1">
      <alignment/>
    </xf>
    <xf numFmtId="0" fontId="0" fillId="0" borderId="0" xfId="0" applyFont="1" applyAlignment="1">
      <alignment/>
    </xf>
    <xf numFmtId="175" fontId="1" fillId="0" borderId="0" xfId="0" applyNumberFormat="1" applyFont="1" applyAlignment="1">
      <alignment/>
    </xf>
    <xf numFmtId="0" fontId="2" fillId="0" borderId="0" xfId="0" applyFont="1" applyAlignment="1">
      <alignment/>
    </xf>
    <xf numFmtId="0" fontId="1" fillId="0" borderId="10" xfId="0" applyFont="1" applyBorder="1" applyAlignment="1">
      <alignment/>
    </xf>
    <xf numFmtId="0" fontId="4" fillId="0" borderId="0" xfId="0" applyFont="1" applyAlignment="1">
      <alignment/>
    </xf>
    <xf numFmtId="0" fontId="4" fillId="0" borderId="0" xfId="0" applyFont="1" applyAlignment="1">
      <alignment horizontal="right"/>
    </xf>
    <xf numFmtId="0" fontId="7" fillId="0" borderId="0" xfId="0" applyFont="1" applyAlignment="1" applyProtection="1">
      <alignment/>
      <protection locked="0"/>
    </xf>
    <xf numFmtId="173" fontId="7" fillId="0" borderId="0" xfId="0" applyNumberFormat="1" applyFont="1" applyAlignment="1" applyProtection="1">
      <alignment/>
      <protection locked="0"/>
    </xf>
    <xf numFmtId="175" fontId="7" fillId="0" borderId="0" xfId="0" applyNumberFormat="1" applyFont="1" applyAlignment="1" applyProtection="1">
      <alignment/>
      <protection locked="0"/>
    </xf>
    <xf numFmtId="0" fontId="1" fillId="0" borderId="0" xfId="0" applyFont="1" applyAlignment="1">
      <alignment horizontal="left"/>
    </xf>
    <xf numFmtId="0" fontId="8"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173" fontId="1" fillId="0" borderId="0" xfId="0" applyNumberFormat="1" applyFont="1" applyAlignment="1">
      <alignment/>
    </xf>
    <xf numFmtId="0" fontId="1" fillId="0" borderId="10" xfId="0" applyFont="1" applyBorder="1" applyAlignment="1">
      <alignment/>
    </xf>
    <xf numFmtId="3" fontId="3" fillId="0" borderId="0" xfId="0" applyNumberFormat="1" applyFont="1" applyAlignment="1">
      <alignment/>
    </xf>
    <xf numFmtId="0" fontId="3" fillId="0" borderId="0" xfId="0" applyFont="1" applyAlignment="1">
      <alignment/>
    </xf>
    <xf numFmtId="3" fontId="1" fillId="0" borderId="0" xfId="0" applyNumberFormat="1" applyFont="1" applyAlignment="1">
      <alignment/>
    </xf>
    <xf numFmtId="0" fontId="3" fillId="0" borderId="10" xfId="0" applyFont="1" applyBorder="1" applyAlignment="1">
      <alignment/>
    </xf>
    <xf numFmtId="175" fontId="2" fillId="0" borderId="0" xfId="0" applyNumberFormat="1" applyFont="1" applyAlignment="1">
      <alignment/>
    </xf>
    <xf numFmtId="175" fontId="3" fillId="0" borderId="0" xfId="0" applyNumberFormat="1" applyFont="1" applyAlignment="1">
      <alignment/>
    </xf>
    <xf numFmtId="16" fontId="13" fillId="0" borderId="0" xfId="0" applyNumberFormat="1" applyFont="1" applyAlignment="1">
      <alignment/>
    </xf>
    <xf numFmtId="0" fontId="10" fillId="0" borderId="0" xfId="0" applyFont="1" applyAlignment="1">
      <alignment horizontal="center"/>
    </xf>
    <xf numFmtId="0" fontId="11" fillId="0" borderId="0" xfId="0" applyFont="1" applyAlignment="1">
      <alignment/>
    </xf>
    <xf numFmtId="0" fontId="9" fillId="0" borderId="0" xfId="0" applyFont="1" applyAlignment="1">
      <alignment horizontal="center"/>
    </xf>
    <xf numFmtId="177" fontId="12" fillId="0" borderId="0" xfId="0" applyNumberFormat="1" applyFont="1" applyAlignment="1">
      <alignment horizontal="right"/>
    </xf>
    <xf numFmtId="0" fontId="1" fillId="0" borderId="0" xfId="0" applyFont="1" applyAlignment="1">
      <alignment/>
    </xf>
    <xf numFmtId="0" fontId="1" fillId="0" borderId="0" xfId="0" applyFont="1" applyAlignment="1">
      <alignment vertical="top" wrapText="1"/>
    </xf>
    <xf numFmtId="0" fontId="0" fillId="0" borderId="0" xfId="0" applyAlignment="1">
      <alignment/>
    </xf>
    <xf numFmtId="179" fontId="1" fillId="0" borderId="0" xfId="0" applyNumberFormat="1" applyFont="1" applyAlignment="1">
      <alignment/>
    </xf>
    <xf numFmtId="0" fontId="0" fillId="0" borderId="0" xfId="0" applyAlignment="1">
      <alignment wrapText="1"/>
    </xf>
    <xf numFmtId="0" fontId="1"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righ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protection locked="0"/>
    </xf>
    <xf numFmtId="0" fontId="2" fillId="0" borderId="0" xfId="0" applyFont="1" applyAlignment="1" applyProtection="1">
      <alignment horizontal="center"/>
      <protection/>
    </xf>
    <xf numFmtId="0" fontId="0" fillId="0" borderId="0" xfId="0" applyAlignment="1">
      <alignment horizontal="center"/>
    </xf>
    <xf numFmtId="0" fontId="2" fillId="0" borderId="0" xfId="0" applyFont="1" applyAlignment="1" applyProtection="1">
      <alignment horizontal="left"/>
      <protection/>
    </xf>
    <xf numFmtId="180" fontId="0" fillId="0" borderId="0" xfId="0" applyNumberFormat="1" applyAlignment="1">
      <alignment/>
    </xf>
    <xf numFmtId="0" fontId="1" fillId="0" borderId="0" xfId="0" applyFont="1" applyAlignment="1" applyProtection="1">
      <alignment/>
      <protection/>
    </xf>
    <xf numFmtId="0" fontId="4" fillId="0" borderId="0" xfId="0" applyFont="1" applyAlignment="1">
      <alignment horizontal="center"/>
    </xf>
    <xf numFmtId="180" fontId="1" fillId="0" borderId="0" xfId="0" applyNumberFormat="1" applyFont="1" applyAlignment="1">
      <alignment/>
    </xf>
    <xf numFmtId="179" fontId="3" fillId="0" borderId="0" xfId="0" applyNumberFormat="1" applyFont="1" applyAlignment="1">
      <alignment/>
    </xf>
    <xf numFmtId="0" fontId="4" fillId="0" borderId="0" xfId="0" applyFont="1" applyAlignment="1" applyProtection="1">
      <alignment/>
      <protection/>
    </xf>
    <xf numFmtId="0" fontId="2" fillId="0" borderId="0" xfId="0" applyFont="1" applyAlignment="1" applyProtection="1">
      <alignment/>
      <protection/>
    </xf>
    <xf numFmtId="0" fontId="1" fillId="0" borderId="0" xfId="0" applyFont="1" applyBorder="1" applyAlignment="1">
      <alignment/>
    </xf>
    <xf numFmtId="0" fontId="1" fillId="0" borderId="11" xfId="0" applyFont="1" applyBorder="1" applyAlignment="1">
      <alignment/>
    </xf>
    <xf numFmtId="0" fontId="0" fillId="0" borderId="0" xfId="0" applyAlignment="1">
      <alignment vertical="top" wrapText="1"/>
    </xf>
    <xf numFmtId="0" fontId="1" fillId="0" borderId="0" xfId="0" applyFont="1" applyAlignment="1">
      <alignment vertical="top"/>
    </xf>
    <xf numFmtId="0" fontId="20" fillId="0" borderId="0" xfId="0" applyFont="1" applyAlignment="1">
      <alignment/>
    </xf>
    <xf numFmtId="180" fontId="1" fillId="0" borderId="0" xfId="0" applyNumberFormat="1" applyFont="1" applyAlignment="1">
      <alignment horizontal="right"/>
    </xf>
    <xf numFmtId="0" fontId="2" fillId="0" borderId="0" xfId="0" applyFont="1" applyAlignment="1">
      <alignment horizontal="center"/>
    </xf>
    <xf numFmtId="0" fontId="1" fillId="0" borderId="0" xfId="0" applyFont="1" applyAlignment="1">
      <alignment horizontal="center"/>
    </xf>
    <xf numFmtId="0" fontId="19" fillId="0" borderId="0" xfId="0" applyFont="1" applyAlignment="1">
      <alignment/>
    </xf>
    <xf numFmtId="0" fontId="17" fillId="0" borderId="0" xfId="0" applyFont="1" applyAlignment="1" applyProtection="1">
      <alignment horizontal="center"/>
      <protection/>
    </xf>
    <xf numFmtId="0" fontId="18" fillId="0" borderId="0" xfId="0" applyFont="1" applyAlignment="1">
      <alignment horizontal="center"/>
    </xf>
    <xf numFmtId="0" fontId="0" fillId="0" borderId="0" xfId="0" applyAlignment="1">
      <alignment vertical="top"/>
    </xf>
    <xf numFmtId="0" fontId="4" fillId="0" borderId="0" xfId="0" applyFont="1" applyAlignment="1" applyProtection="1">
      <alignment horizontal="center"/>
      <protection/>
    </xf>
    <xf numFmtId="0" fontId="2" fillId="0" borderId="0" xfId="0" applyFont="1" applyFill="1" applyAlignment="1" applyProtection="1">
      <alignment horizontal="center"/>
      <protection/>
    </xf>
    <xf numFmtId="0" fontId="4" fillId="0" borderId="0" xfId="0" applyNumberFormat="1" applyFont="1" applyAlignment="1" applyProtection="1">
      <alignment horizontal="center"/>
      <protection/>
    </xf>
    <xf numFmtId="7" fontId="2" fillId="0" borderId="0" xfId="0" applyNumberFormat="1" applyFont="1" applyAlignment="1">
      <alignment/>
    </xf>
    <xf numFmtId="0" fontId="2" fillId="0" borderId="0" xfId="0" applyFont="1" applyAlignment="1" applyProtection="1">
      <alignment/>
      <protection/>
    </xf>
    <xf numFmtId="2" fontId="1" fillId="0" borderId="0" xfId="0" applyNumberFormat="1" applyFont="1" applyAlignment="1">
      <alignment/>
    </xf>
    <xf numFmtId="2" fontId="3" fillId="0" borderId="0" xfId="0" applyNumberFormat="1" applyFont="1" applyAlignment="1">
      <alignment/>
    </xf>
    <xf numFmtId="7" fontId="2" fillId="0" borderId="0" xfId="0" applyNumberFormat="1" applyFont="1" applyAlignment="1">
      <alignment horizontal="center"/>
    </xf>
    <xf numFmtId="183" fontId="2" fillId="0" borderId="0" xfId="0" applyNumberFormat="1" applyFont="1" applyAlignment="1">
      <alignment/>
    </xf>
    <xf numFmtId="7" fontId="1" fillId="0" borderId="0" xfId="0" applyNumberFormat="1" applyFont="1" applyAlignment="1">
      <alignment/>
    </xf>
    <xf numFmtId="0" fontId="0" fillId="0" borderId="0" xfId="0" applyFont="1" applyAlignment="1">
      <alignment vertical="top"/>
    </xf>
    <xf numFmtId="1" fontId="1" fillId="0" borderId="0" xfId="0" applyNumberFormat="1" applyFont="1" applyAlignment="1">
      <alignment/>
    </xf>
    <xf numFmtId="0" fontId="3" fillId="0" borderId="0" xfId="0" applyFont="1" applyAlignment="1">
      <alignment horizontal="center"/>
    </xf>
    <xf numFmtId="7" fontId="3" fillId="0" borderId="0" xfId="0" applyNumberFormat="1" applyFont="1" applyAlignment="1">
      <alignment/>
    </xf>
    <xf numFmtId="9" fontId="7" fillId="0" borderId="0" xfId="0" applyNumberFormat="1" applyFont="1" applyAlignment="1" applyProtection="1">
      <alignment/>
      <protection locked="0"/>
    </xf>
    <xf numFmtId="174" fontId="1" fillId="0" borderId="0" xfId="0" applyNumberFormat="1" applyFont="1" applyAlignment="1">
      <alignment/>
    </xf>
    <xf numFmtId="0" fontId="21" fillId="0" borderId="0" xfId="0" applyFont="1" applyAlignment="1">
      <alignment/>
    </xf>
    <xf numFmtId="5" fontId="2" fillId="0" borderId="0" xfId="0" applyNumberFormat="1" applyFont="1" applyAlignment="1" applyProtection="1">
      <alignment/>
      <protection/>
    </xf>
    <xf numFmtId="7" fontId="3" fillId="0" borderId="0" xfId="0" applyNumberFormat="1" applyFont="1" applyAlignment="1">
      <alignment horizontal="center"/>
    </xf>
    <xf numFmtId="180" fontId="3" fillId="0" borderId="0" xfId="0" applyNumberFormat="1" applyFont="1" applyAlignment="1">
      <alignment/>
    </xf>
    <xf numFmtId="9" fontId="1" fillId="0" borderId="0" xfId="0" applyNumberFormat="1" applyFont="1" applyAlignment="1">
      <alignment horizontal="right"/>
    </xf>
    <xf numFmtId="0" fontId="1" fillId="0" borderId="0" xfId="0" applyFont="1" applyBorder="1" applyAlignment="1">
      <alignment/>
    </xf>
    <xf numFmtId="0" fontId="0" fillId="0" borderId="0" xfId="0" applyFont="1" applyBorder="1" applyAlignment="1">
      <alignment vertical="center"/>
    </xf>
    <xf numFmtId="0" fontId="1" fillId="0" borderId="0" xfId="0" applyFont="1" applyAlignment="1" applyProtection="1" quotePrefix="1">
      <alignment horizontal="left"/>
      <protection/>
    </xf>
    <xf numFmtId="180" fontId="7" fillId="0" borderId="0" xfId="0" applyNumberFormat="1" applyFont="1" applyAlignment="1" applyProtection="1">
      <alignment/>
      <protection locked="0"/>
    </xf>
    <xf numFmtId="0" fontId="2" fillId="0" borderId="0" xfId="0" applyFont="1" applyAlignment="1" quotePrefix="1">
      <alignment horizontal="left"/>
    </xf>
    <xf numFmtId="17" fontId="19" fillId="0" borderId="0" xfId="56" applyNumberFormat="1" applyFont="1" applyAlignment="1">
      <alignment horizontal="left" vertical="top"/>
      <protection/>
    </xf>
    <xf numFmtId="0" fontId="14" fillId="0" borderId="0" xfId="0" applyFont="1" applyAlignment="1">
      <alignment horizontal="center"/>
    </xf>
    <xf numFmtId="0" fontId="15" fillId="0" borderId="0" xfId="0" applyFont="1" applyAlignment="1">
      <alignment/>
    </xf>
    <xf numFmtId="174" fontId="3" fillId="0" borderId="0" xfId="0" applyNumberFormat="1" applyFont="1" applyAlignment="1">
      <alignment/>
    </xf>
    <xf numFmtId="180" fontId="2" fillId="0" borderId="0" xfId="0" applyNumberFormat="1" applyFont="1" applyAlignment="1" applyProtection="1">
      <alignment/>
      <protection/>
    </xf>
    <xf numFmtId="175" fontId="7" fillId="0" borderId="0" xfId="0" applyNumberFormat="1" applyFont="1" applyFill="1" applyAlignment="1" applyProtection="1">
      <alignment horizontal="center"/>
      <protection locked="0"/>
    </xf>
    <xf numFmtId="7" fontId="1" fillId="0" borderId="0" xfId="0" applyNumberFormat="1" applyFont="1" applyFill="1" applyAlignment="1">
      <alignment/>
    </xf>
    <xf numFmtId="175" fontId="1" fillId="0" borderId="0" xfId="0" applyNumberFormat="1" applyFont="1" applyFill="1" applyAlignment="1">
      <alignment/>
    </xf>
    <xf numFmtId="3" fontId="7" fillId="0" borderId="0" xfId="0" applyNumberFormat="1" applyFont="1" applyFill="1" applyAlignment="1" applyProtection="1">
      <alignment horizontal="center"/>
      <protection locked="0"/>
    </xf>
    <xf numFmtId="7" fontId="7" fillId="0" borderId="0" xfId="0" applyNumberFormat="1" applyFont="1" applyFill="1" applyAlignment="1" applyProtection="1">
      <alignment/>
      <protection locked="0"/>
    </xf>
    <xf numFmtId="3" fontId="7" fillId="0" borderId="0" xfId="0" applyNumberFormat="1" applyFont="1" applyFill="1" applyAlignment="1" applyProtection="1">
      <alignment/>
      <protection locked="0"/>
    </xf>
    <xf numFmtId="175" fontId="7" fillId="0" borderId="0" xfId="0" applyNumberFormat="1" applyFont="1" applyFill="1" applyAlignment="1" applyProtection="1">
      <alignment/>
      <protection locked="0"/>
    </xf>
    <xf numFmtId="0" fontId="2" fillId="0" borderId="12" xfId="0" applyFont="1" applyBorder="1" applyAlignment="1">
      <alignment/>
    </xf>
    <xf numFmtId="0" fontId="0" fillId="0" borderId="12" xfId="0" applyBorder="1" applyAlignment="1">
      <alignment/>
    </xf>
    <xf numFmtId="0" fontId="1" fillId="0" borderId="12" xfId="0" applyFont="1" applyBorder="1" applyAlignment="1">
      <alignment/>
    </xf>
    <xf numFmtId="175" fontId="2" fillId="0" borderId="12" xfId="0" applyNumberFormat="1" applyFont="1" applyBorder="1" applyAlignment="1">
      <alignment/>
    </xf>
    <xf numFmtId="175" fontId="2" fillId="0" borderId="12" xfId="0" applyNumberFormat="1" applyFont="1" applyBorder="1" applyAlignment="1">
      <alignment/>
    </xf>
    <xf numFmtId="179" fontId="2" fillId="0" borderId="12" xfId="0" applyNumberFormat="1" applyFont="1" applyBorder="1" applyAlignment="1">
      <alignment/>
    </xf>
    <xf numFmtId="0" fontId="2" fillId="0" borderId="0" xfId="0" applyFont="1" applyBorder="1" applyAlignment="1">
      <alignment/>
    </xf>
    <xf numFmtId="0" fontId="0" fillId="0" borderId="0" xfId="0" applyBorder="1" applyAlignment="1">
      <alignment/>
    </xf>
    <xf numFmtId="175" fontId="2" fillId="0" borderId="0" xfId="0" applyNumberFormat="1" applyFont="1" applyBorder="1" applyAlignment="1">
      <alignment/>
    </xf>
    <xf numFmtId="0" fontId="2" fillId="0" borderId="0" xfId="0" applyFont="1" applyBorder="1" applyAlignment="1">
      <alignment/>
    </xf>
    <xf numFmtId="175" fontId="1" fillId="0" borderId="0" xfId="0" applyNumberFormat="1" applyFont="1" applyBorder="1" applyAlignment="1">
      <alignment/>
    </xf>
    <xf numFmtId="178" fontId="7" fillId="0" borderId="0" xfId="0" applyNumberFormat="1" applyFont="1" applyAlignment="1">
      <alignment horizontal="center"/>
    </xf>
    <xf numFmtId="0" fontId="1" fillId="0" borderId="0" xfId="0" applyFont="1" applyAlignment="1" applyProtection="1">
      <alignment horizontal="center"/>
      <protection/>
    </xf>
    <xf numFmtId="3" fontId="1" fillId="0" borderId="0" xfId="0" applyNumberFormat="1" applyFont="1" applyFill="1" applyAlignment="1" applyProtection="1">
      <alignment horizontal="center"/>
      <protection locked="0"/>
    </xf>
    <xf numFmtId="2" fontId="7" fillId="0" borderId="0" xfId="0" applyNumberFormat="1" applyFont="1" applyAlignment="1">
      <alignment horizontal="center"/>
    </xf>
    <xf numFmtId="0" fontId="1" fillId="0" borderId="0" xfId="0" applyNumberFormat="1" applyFont="1" applyAlignment="1">
      <alignment/>
    </xf>
    <xf numFmtId="0" fontId="1" fillId="0" borderId="0" xfId="0" applyNumberFormat="1" applyFont="1" applyAlignment="1">
      <alignment horizontal="center"/>
    </xf>
    <xf numFmtId="0" fontId="1" fillId="0" borderId="0" xfId="0" applyNumberFormat="1" applyFont="1" applyAlignment="1">
      <alignment horizontal="left"/>
    </xf>
    <xf numFmtId="0" fontId="25" fillId="0" borderId="0" xfId="0" applyNumberFormat="1" applyFont="1" applyAlignment="1">
      <alignment horizontal="left"/>
    </xf>
    <xf numFmtId="0" fontId="1" fillId="0" borderId="10" xfId="0" applyNumberFormat="1" applyFont="1" applyBorder="1" applyAlignment="1">
      <alignment/>
    </xf>
    <xf numFmtId="0" fontId="3" fillId="0" borderId="0" xfId="0" applyNumberFormat="1" applyFont="1" applyAlignment="1">
      <alignment horizontal="left"/>
    </xf>
    <xf numFmtId="0" fontId="1" fillId="0" borderId="0" xfId="0" applyNumberFormat="1" applyFont="1" applyBorder="1" applyAlignment="1">
      <alignment/>
    </xf>
    <xf numFmtId="0" fontId="2" fillId="0" borderId="0" xfId="0" applyNumberFormat="1" applyFont="1" applyAlignment="1">
      <alignment/>
    </xf>
    <xf numFmtId="0" fontId="2" fillId="0" borderId="0" xfId="0" applyNumberFormat="1" applyFont="1" applyAlignment="1">
      <alignment horizontal="left"/>
    </xf>
    <xf numFmtId="0" fontId="3" fillId="0" borderId="0" xfId="0" applyNumberFormat="1" applyFont="1" applyAlignment="1">
      <alignment/>
    </xf>
    <xf numFmtId="9" fontId="7" fillId="0" borderId="0" xfId="0" applyNumberFormat="1" applyFont="1" applyFill="1" applyAlignment="1" applyProtection="1">
      <alignment/>
      <protection locked="0"/>
    </xf>
    <xf numFmtId="0" fontId="2" fillId="0" borderId="0" xfId="0" applyFont="1" applyAlignment="1" applyProtection="1">
      <alignment horizontal="center"/>
      <protection locked="0"/>
    </xf>
    <xf numFmtId="182" fontId="7" fillId="0" borderId="0" xfId="0" applyNumberFormat="1" applyFont="1" applyAlignment="1" applyProtection="1">
      <alignment horizontal="center"/>
      <protection locked="0"/>
    </xf>
    <xf numFmtId="180" fontId="7" fillId="0" borderId="0" xfId="0" applyNumberFormat="1" applyFont="1" applyAlignment="1" applyProtection="1">
      <alignment horizontal="center"/>
      <protection locked="0"/>
    </xf>
    <xf numFmtId="4" fontId="1" fillId="0" borderId="0" xfId="0" applyNumberFormat="1" applyFont="1" applyAlignment="1">
      <alignment/>
    </xf>
    <xf numFmtId="3" fontId="2" fillId="0" borderId="0" xfId="0" applyNumberFormat="1" applyFont="1" applyAlignment="1">
      <alignment/>
    </xf>
    <xf numFmtId="9" fontId="3" fillId="0" borderId="0" xfId="0" applyNumberFormat="1" applyFont="1" applyAlignment="1">
      <alignment/>
    </xf>
    <xf numFmtId="183" fontId="3" fillId="0" borderId="0" xfId="0" applyNumberFormat="1" applyFont="1" applyAlignment="1">
      <alignment/>
    </xf>
    <xf numFmtId="4" fontId="3" fillId="0" borderId="0" xfId="0" applyNumberFormat="1" applyFont="1" applyAlignment="1">
      <alignment/>
    </xf>
    <xf numFmtId="189" fontId="2" fillId="0" borderId="0" xfId="0" applyNumberFormat="1" applyFont="1" applyAlignment="1">
      <alignment/>
    </xf>
    <xf numFmtId="179" fontId="2" fillId="0" borderId="0" xfId="0" applyNumberFormat="1" applyFont="1" applyBorder="1" applyAlignment="1">
      <alignment/>
    </xf>
    <xf numFmtId="0" fontId="0" fillId="0" borderId="0" xfId="0" applyFont="1" applyBorder="1" applyAlignment="1">
      <alignment/>
    </xf>
    <xf numFmtId="179" fontId="1" fillId="0" borderId="0" xfId="0" applyNumberFormat="1" applyFont="1" applyBorder="1" applyAlignment="1">
      <alignment/>
    </xf>
    <xf numFmtId="175" fontId="4" fillId="0" borderId="0" xfId="0" applyNumberFormat="1" applyFont="1" applyBorder="1" applyAlignment="1">
      <alignment horizontal="center"/>
    </xf>
    <xf numFmtId="0" fontId="4" fillId="0" borderId="0" xfId="0" applyFont="1" applyBorder="1" applyAlignment="1">
      <alignment/>
    </xf>
    <xf numFmtId="179" fontId="4" fillId="0" borderId="0" xfId="0" applyNumberFormat="1" applyFont="1" applyBorder="1" applyAlignment="1">
      <alignment/>
    </xf>
    <xf numFmtId="9" fontId="1" fillId="0" borderId="0" xfId="0" applyNumberFormat="1" applyFont="1" applyBorder="1" applyAlignment="1">
      <alignment/>
    </xf>
    <xf numFmtId="0" fontId="22" fillId="0" borderId="0" xfId="0" applyFont="1" applyBorder="1" applyAlignment="1">
      <alignment horizontal="left"/>
    </xf>
    <xf numFmtId="189" fontId="1" fillId="0" borderId="0" xfId="0" applyNumberFormat="1" applyFont="1" applyAlignment="1">
      <alignment/>
    </xf>
    <xf numFmtId="175" fontId="4" fillId="0" borderId="0" xfId="0" applyNumberFormat="1" applyFont="1" applyBorder="1" applyAlignment="1">
      <alignment horizontal="right"/>
    </xf>
    <xf numFmtId="175" fontId="1" fillId="0" borderId="0" xfId="0" applyNumberFormat="1" applyFont="1" applyBorder="1" applyAlignment="1">
      <alignment horizontal="right"/>
    </xf>
    <xf numFmtId="189" fontId="1" fillId="0" borderId="0" xfId="0" applyNumberFormat="1" applyFont="1" applyBorder="1" applyAlignment="1">
      <alignment horizontal="right"/>
    </xf>
    <xf numFmtId="0" fontId="4" fillId="0" borderId="0" xfId="0" applyFont="1" applyAlignment="1" applyProtection="1">
      <alignment horizontal="left"/>
      <protection/>
    </xf>
    <xf numFmtId="182" fontId="1" fillId="0" borderId="0" xfId="0" applyNumberFormat="1" applyFont="1" applyAlignment="1">
      <alignment/>
    </xf>
    <xf numFmtId="0" fontId="1" fillId="0" borderId="0" xfId="0" applyFont="1" applyFill="1" applyAlignment="1">
      <alignment horizontal="center"/>
    </xf>
    <xf numFmtId="2" fontId="1" fillId="0" borderId="0" xfId="0" applyNumberFormat="1" applyFont="1" applyFill="1" applyAlignment="1">
      <alignment/>
    </xf>
    <xf numFmtId="0" fontId="1" fillId="0" borderId="0" xfId="0" applyFont="1" applyFill="1" applyAlignment="1">
      <alignment/>
    </xf>
    <xf numFmtId="0" fontId="3" fillId="0" borderId="0" xfId="0" applyFont="1" applyFill="1" applyAlignment="1">
      <alignment horizontal="center"/>
    </xf>
    <xf numFmtId="3" fontId="3" fillId="0" borderId="0" xfId="0" applyNumberFormat="1" applyFont="1" applyFill="1" applyAlignment="1">
      <alignment/>
    </xf>
    <xf numFmtId="0" fontId="3" fillId="0" borderId="0" xfId="0" applyFont="1" applyFill="1" applyAlignment="1">
      <alignment/>
    </xf>
    <xf numFmtId="175" fontId="2" fillId="0" borderId="0" xfId="0" applyNumberFormat="1" applyFont="1" applyFill="1" applyAlignment="1">
      <alignment/>
    </xf>
    <xf numFmtId="0" fontId="0" fillId="0" borderId="12" xfId="0" applyFont="1" applyBorder="1" applyAlignment="1">
      <alignment vertical="center"/>
    </xf>
    <xf numFmtId="0" fontId="0" fillId="0" borderId="12" xfId="0" applyFont="1" applyBorder="1" applyAlignment="1">
      <alignment/>
    </xf>
    <xf numFmtId="0" fontId="1" fillId="0" borderId="12" xfId="0" applyFont="1" applyBorder="1" applyAlignment="1">
      <alignment/>
    </xf>
    <xf numFmtId="175" fontId="1" fillId="0" borderId="12" xfId="0" applyNumberFormat="1" applyFont="1" applyBorder="1" applyAlignment="1">
      <alignment/>
    </xf>
    <xf numFmtId="179" fontId="1" fillId="0" borderId="12" xfId="0" applyNumberFormat="1" applyFont="1" applyBorder="1" applyAlignment="1">
      <alignment/>
    </xf>
    <xf numFmtId="9" fontId="1" fillId="0" borderId="0" xfId="0" applyNumberFormat="1" applyFont="1" applyAlignment="1">
      <alignment/>
    </xf>
    <xf numFmtId="175" fontId="2" fillId="0" borderId="0" xfId="0" applyNumberFormat="1" applyFont="1" applyBorder="1" applyAlignment="1">
      <alignment horizontal="center"/>
    </xf>
    <xf numFmtId="4" fontId="7" fillId="0" borderId="0" xfId="0" applyNumberFormat="1" applyFont="1" applyAlignment="1" applyProtection="1">
      <alignment/>
      <protection locked="0"/>
    </xf>
    <xf numFmtId="190" fontId="7" fillId="0" borderId="0" xfId="0" applyNumberFormat="1" applyFont="1" applyAlignment="1" applyProtection="1">
      <alignment horizontal="center"/>
      <protection locked="0"/>
    </xf>
    <xf numFmtId="175" fontId="7" fillId="0" borderId="0" xfId="0" applyNumberFormat="1" applyFont="1" applyAlignment="1" applyProtection="1">
      <alignment horizontal="center"/>
      <protection locked="0"/>
    </xf>
    <xf numFmtId="0" fontId="1" fillId="0" borderId="0" xfId="0" applyFont="1" applyAlignment="1" applyProtection="1">
      <alignment horizontal="left"/>
      <protection/>
    </xf>
    <xf numFmtId="173" fontId="7" fillId="0" borderId="0" xfId="0" applyNumberFormat="1" applyFont="1" applyFill="1" applyAlignment="1" applyProtection="1">
      <alignment/>
      <protection locked="0"/>
    </xf>
    <xf numFmtId="191" fontId="3" fillId="0" borderId="0" xfId="0" applyNumberFormat="1" applyFont="1" applyAlignment="1">
      <alignment/>
    </xf>
    <xf numFmtId="3" fontId="1" fillId="0" borderId="0" xfId="0" applyNumberFormat="1" applyFont="1" applyAlignment="1" applyProtection="1">
      <alignment horizontal="center"/>
      <protection/>
    </xf>
    <xf numFmtId="9" fontId="1" fillId="0" borderId="0" xfId="0" applyNumberFormat="1" applyFont="1" applyAlignment="1" applyProtection="1">
      <alignment horizontal="right"/>
      <protection/>
    </xf>
    <xf numFmtId="175" fontId="1" fillId="0" borderId="0" xfId="0" applyNumberFormat="1" applyFont="1" applyAlignment="1" applyProtection="1">
      <alignment horizontal="center"/>
      <protection locked="0"/>
    </xf>
    <xf numFmtId="0" fontId="5" fillId="0" borderId="0" xfId="0" applyFont="1" applyAlignment="1">
      <alignment horizontal="center"/>
    </xf>
    <xf numFmtId="0" fontId="6" fillId="0" borderId="0" xfId="0" applyFont="1" applyAlignment="1">
      <alignment horizontal="center"/>
    </xf>
    <xf numFmtId="0" fontId="1" fillId="0" borderId="0" xfId="0" applyFont="1" applyAlignment="1" applyProtection="1">
      <alignment/>
      <protection locked="0"/>
    </xf>
    <xf numFmtId="0" fontId="28" fillId="0" borderId="0" xfId="0" applyFont="1" applyAlignment="1">
      <alignment horizontal="center"/>
    </xf>
    <xf numFmtId="0" fontId="29" fillId="0" borderId="0" xfId="0" applyFont="1" applyAlignment="1">
      <alignment horizontal="center"/>
    </xf>
    <xf numFmtId="175" fontId="1" fillId="0" borderId="0" xfId="56" applyFont="1">
      <alignment vertical="top"/>
      <protection/>
    </xf>
    <xf numFmtId="175" fontId="20" fillId="0" borderId="0" xfId="56" applyFont="1" applyAlignment="1">
      <alignment horizontal="left" vertical="top" wrapText="1"/>
      <protection/>
    </xf>
    <xf numFmtId="175" fontId="20" fillId="0" borderId="0" xfId="56" applyFont="1" applyAlignment="1">
      <alignment vertical="top"/>
      <protection/>
    </xf>
    <xf numFmtId="175" fontId="20" fillId="0" borderId="0" xfId="56" applyFont="1" applyAlignment="1">
      <alignment vertical="top" wrapText="1"/>
      <protection/>
    </xf>
    <xf numFmtId="175" fontId="1" fillId="0" borderId="0" xfId="56" applyFont="1" applyBorder="1">
      <alignment vertical="top"/>
      <protection/>
    </xf>
    <xf numFmtId="175" fontId="32" fillId="0" borderId="0" xfId="56" applyFont="1" applyBorder="1" applyAlignment="1">
      <alignment vertical="center"/>
      <protection/>
    </xf>
    <xf numFmtId="175" fontId="1" fillId="0" borderId="0" xfId="56" applyFont="1" applyBorder="1" applyAlignment="1">
      <alignment vertical="center"/>
      <protection/>
    </xf>
    <xf numFmtId="175" fontId="1" fillId="0" borderId="0" xfId="56" applyFont="1" applyAlignment="1">
      <alignment vertical="center"/>
      <protection/>
    </xf>
    <xf numFmtId="175" fontId="77" fillId="0" borderId="0" xfId="52" applyNumberFormat="1" applyFont="1" applyAlignment="1" applyProtection="1">
      <alignment vertical="top"/>
      <protection/>
    </xf>
    <xf numFmtId="0" fontId="31" fillId="0" borderId="0" xfId="0" applyFont="1" applyAlignment="1">
      <alignment/>
    </xf>
    <xf numFmtId="175" fontId="30" fillId="0" borderId="0" xfId="56" applyFont="1">
      <alignment vertical="top"/>
      <protection/>
    </xf>
    <xf numFmtId="0" fontId="30" fillId="0" borderId="0" xfId="0" applyFont="1" applyAlignment="1">
      <alignment/>
    </xf>
    <xf numFmtId="0" fontId="78" fillId="0" borderId="0" xfId="0" applyFont="1" applyBorder="1" applyAlignment="1" applyProtection="1">
      <alignment/>
      <protection/>
    </xf>
    <xf numFmtId="0" fontId="79" fillId="0" borderId="0" xfId="0" applyFont="1" applyBorder="1" applyAlignment="1" applyProtection="1">
      <alignment horizontal="right"/>
      <protection/>
    </xf>
    <xf numFmtId="0" fontId="0" fillId="0" borderId="10" xfId="0" applyBorder="1" applyAlignment="1">
      <alignment/>
    </xf>
    <xf numFmtId="0" fontId="78" fillId="0" borderId="10" xfId="0" applyFont="1" applyFill="1" applyBorder="1" applyAlignment="1" applyProtection="1">
      <alignment horizontal="right"/>
      <protection/>
    </xf>
    <xf numFmtId="178" fontId="0" fillId="0" borderId="0" xfId="0" applyNumberFormat="1" applyAlignment="1">
      <alignment/>
    </xf>
    <xf numFmtId="175" fontId="0" fillId="0" borderId="0" xfId="0" applyNumberFormat="1" applyAlignment="1">
      <alignment/>
    </xf>
    <xf numFmtId="0" fontId="78" fillId="0" borderId="13" xfId="0" applyFont="1" applyBorder="1" applyAlignment="1" applyProtection="1">
      <alignment horizontal="left" vertical="center"/>
      <protection/>
    </xf>
    <xf numFmtId="0" fontId="79" fillId="0" borderId="13" xfId="0" applyFont="1" applyBorder="1" applyAlignment="1" applyProtection="1">
      <alignment/>
      <protection/>
    </xf>
    <xf numFmtId="0" fontId="0" fillId="0" borderId="13" xfId="0" applyBorder="1" applyAlignment="1" applyProtection="1">
      <alignment/>
      <protection/>
    </xf>
    <xf numFmtId="0" fontId="80" fillId="0" borderId="0" xfId="0" applyFont="1" applyBorder="1" applyAlignment="1">
      <alignment horizontal="left" vertical="top"/>
    </xf>
    <xf numFmtId="0" fontId="31" fillId="0" borderId="0" xfId="0" applyFont="1" applyAlignment="1" applyProtection="1">
      <alignment/>
      <protection/>
    </xf>
    <xf numFmtId="0" fontId="80" fillId="0" borderId="0" xfId="0" applyFont="1" applyAlignment="1" applyProtection="1">
      <alignment horizontal="left" vertical="top"/>
      <protection/>
    </xf>
    <xf numFmtId="175" fontId="30" fillId="0" borderId="0" xfId="56" applyFont="1" applyFill="1">
      <alignment vertical="top"/>
      <protection/>
    </xf>
    <xf numFmtId="0" fontId="30" fillId="0" borderId="0" xfId="0" applyFont="1" applyAlignment="1" applyProtection="1">
      <alignment/>
      <protection/>
    </xf>
    <xf numFmtId="175" fontId="1" fillId="0" borderId="0" xfId="56" applyFont="1">
      <alignment vertical="top"/>
      <protection/>
    </xf>
    <xf numFmtId="175" fontId="20" fillId="0" borderId="0" xfId="56" applyFont="1" applyAlignment="1">
      <alignment vertical="center"/>
      <protection/>
    </xf>
    <xf numFmtId="3" fontId="20" fillId="0" borderId="0" xfId="0" applyNumberFormat="1" applyFont="1" applyAlignment="1">
      <alignment vertical="top"/>
    </xf>
    <xf numFmtId="0" fontId="78" fillId="0" borderId="10" xfId="0" applyFont="1" applyBorder="1" applyAlignment="1" applyProtection="1">
      <alignment horizontal="right"/>
      <protection/>
    </xf>
    <xf numFmtId="0" fontId="20" fillId="0" borderId="0" xfId="0" applyFont="1" applyAlignment="1">
      <alignment vertical="top" wrapText="1"/>
    </xf>
    <xf numFmtId="175" fontId="20" fillId="0" borderId="0" xfId="56" applyFont="1" applyAlignment="1">
      <alignment horizontal="left" vertical="top" wrapText="1"/>
      <protection/>
    </xf>
    <xf numFmtId="175" fontId="31" fillId="0" borderId="0" xfId="56" applyFont="1" applyAlignment="1">
      <alignment horizontal="left" vertical="top" wrapText="1"/>
      <protection/>
    </xf>
    <xf numFmtId="0" fontId="81" fillId="33" borderId="0" xfId="0" applyFont="1" applyFill="1" applyAlignment="1">
      <alignment horizontal="center"/>
    </xf>
    <xf numFmtId="0" fontId="82" fillId="33" borderId="0" xfId="0" applyFont="1" applyFill="1" applyAlignment="1">
      <alignment horizontal="center"/>
    </xf>
    <xf numFmtId="175" fontId="15" fillId="0" borderId="0" xfId="56" applyFont="1" applyAlignment="1">
      <alignment vertical="top" wrapText="1"/>
      <protection/>
    </xf>
    <xf numFmtId="0" fontId="0" fillId="0" borderId="0" xfId="0" applyAlignment="1">
      <alignment vertical="top" wrapText="1"/>
    </xf>
    <xf numFmtId="0" fontId="26" fillId="0" borderId="13" xfId="0" applyFont="1" applyBorder="1" applyAlignment="1">
      <alignment horizontal="center"/>
    </xf>
    <xf numFmtId="0" fontId="27" fillId="0" borderId="13" xfId="0" applyFont="1" applyBorder="1" applyAlignment="1">
      <alignment horizontal="center"/>
    </xf>
    <xf numFmtId="0" fontId="26" fillId="0" borderId="10" xfId="0" applyFont="1" applyBorder="1" applyAlignment="1">
      <alignment horizontal="center"/>
    </xf>
    <xf numFmtId="0" fontId="27" fillId="0" borderId="10" xfId="0" applyFont="1" applyBorder="1" applyAlignment="1">
      <alignment horizontal="center"/>
    </xf>
    <xf numFmtId="0" fontId="81" fillId="33" borderId="0" xfId="0" applyFont="1" applyFill="1" applyAlignment="1" applyProtection="1">
      <alignment horizontal="center"/>
      <protection/>
    </xf>
    <xf numFmtId="0" fontId="17" fillId="0" borderId="0" xfId="0" applyFont="1" applyAlignment="1" applyProtection="1">
      <alignment horizontal="center"/>
      <protection/>
    </xf>
    <xf numFmtId="0" fontId="18" fillId="0" borderId="0" xfId="0" applyFont="1" applyAlignment="1">
      <alignment horizontal="center"/>
    </xf>
    <xf numFmtId="0" fontId="4" fillId="0" borderId="0" xfId="0" applyFont="1" applyAlignment="1" applyProtection="1">
      <alignment horizontal="center"/>
      <protection locked="0"/>
    </xf>
    <xf numFmtId="0" fontId="4" fillId="0" borderId="0" xfId="0" applyFont="1" applyAlignment="1" applyProtection="1">
      <alignment horizontal="center"/>
      <protection/>
    </xf>
    <xf numFmtId="0" fontId="17" fillId="0" borderId="0" xfId="0" applyFont="1" applyAlignment="1">
      <alignment horizontal="center" vertical="top" wrapText="1"/>
    </xf>
    <xf numFmtId="0" fontId="18" fillId="0" borderId="0" xfId="0" applyFont="1" applyAlignment="1">
      <alignment horizontal="center" vertical="top" wrapText="1"/>
    </xf>
    <xf numFmtId="0" fontId="81" fillId="33" borderId="0" xfId="0" applyFont="1" applyFill="1" applyAlignment="1">
      <alignment horizontal="center" wrapText="1"/>
    </xf>
    <xf numFmtId="0" fontId="1" fillId="0" borderId="0" xfId="0" applyFont="1" applyAlignment="1" quotePrefix="1">
      <alignment horizontal="left" vertical="top" wrapText="1"/>
    </xf>
    <xf numFmtId="0" fontId="1" fillId="0" borderId="0" xfId="0" applyFont="1" applyAlignment="1">
      <alignment horizontal="left" vertical="top" wrapText="1"/>
    </xf>
    <xf numFmtId="0" fontId="1" fillId="0" borderId="0" xfId="0" applyFont="1" applyAlignment="1" quotePrefix="1">
      <alignment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Farrow-Wean 500"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machinery-costs.html" TargetMode="External" /><Relationship Id="rId3" Type="http://schemas.openxmlformats.org/officeDocument/2006/relationships/hyperlink" Target="http://www.gov.mb.ca/agriculture/business-and-economics/financial-management/cost-of-production.html" TargetMode="External" /><Relationship Id="rId4"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295275</xdr:colOff>
      <xdr:row>1</xdr:row>
      <xdr:rowOff>57150</xdr:rowOff>
    </xdr:from>
    <xdr:to>
      <xdr:col>8</xdr:col>
      <xdr:colOff>1133475</xdr:colOff>
      <xdr:row>2</xdr:row>
      <xdr:rowOff>152400</xdr:rowOff>
    </xdr:to>
    <xdr:pic>
      <xdr:nvPicPr>
        <xdr:cNvPr id="1" name="Picture 3" descr="GovMB_Logo_black-1374 10percent.jpg"/>
        <xdr:cNvPicPr preferRelativeResize="1">
          <a:picLocks noChangeAspect="1"/>
        </xdr:cNvPicPr>
      </xdr:nvPicPr>
      <xdr:blipFill>
        <a:blip r:embed="rId1"/>
        <a:stretch>
          <a:fillRect/>
        </a:stretch>
      </xdr:blipFill>
      <xdr:spPr>
        <a:xfrm>
          <a:off x="4705350" y="247650"/>
          <a:ext cx="1447800" cy="285750"/>
        </a:xfrm>
        <a:prstGeom prst="rect">
          <a:avLst/>
        </a:prstGeom>
        <a:noFill/>
        <a:ln w="9525" cmpd="sng">
          <a:noFill/>
        </a:ln>
      </xdr:spPr>
    </xdr:pic>
    <xdr:clientData/>
  </xdr:twoCellAnchor>
  <xdr:twoCellAnchor>
    <xdr:from>
      <xdr:col>1</xdr:col>
      <xdr:colOff>0</xdr:colOff>
      <xdr:row>31</xdr:row>
      <xdr:rowOff>228600</xdr:rowOff>
    </xdr:from>
    <xdr:to>
      <xdr:col>6</xdr:col>
      <xdr:colOff>542925</xdr:colOff>
      <xdr:row>33</xdr:row>
      <xdr:rowOff>38100</xdr:rowOff>
    </xdr:to>
    <xdr:sp>
      <xdr:nvSpPr>
        <xdr:cNvPr id="2" name="TextBox 5">
          <a:hlinkClick r:id="rId2"/>
        </xdr:cNvPr>
        <xdr:cNvSpPr txBox="1">
          <a:spLocks noChangeArrowheads="1"/>
        </xdr:cNvSpPr>
      </xdr:nvSpPr>
      <xdr:spPr>
        <a:xfrm>
          <a:off x="609600" y="7343775"/>
          <a:ext cx="3733800" cy="295275"/>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twoCellAnchor>
    <xdr:from>
      <xdr:col>6</xdr:col>
      <xdr:colOff>533400</xdr:colOff>
      <xdr:row>29</xdr:row>
      <xdr:rowOff>200025</xdr:rowOff>
    </xdr:from>
    <xdr:to>
      <xdr:col>10</xdr:col>
      <xdr:colOff>133350</xdr:colOff>
      <xdr:row>31</xdr:row>
      <xdr:rowOff>76200</xdr:rowOff>
    </xdr:to>
    <xdr:sp>
      <xdr:nvSpPr>
        <xdr:cNvPr id="3" name="TextBox 6">
          <a:hlinkClick r:id="rId3"/>
        </xdr:cNvPr>
        <xdr:cNvSpPr txBox="1">
          <a:spLocks noChangeArrowheads="1"/>
        </xdr:cNvSpPr>
      </xdr:nvSpPr>
      <xdr:spPr>
        <a:xfrm>
          <a:off x="4333875" y="6858000"/>
          <a:ext cx="2962275" cy="3333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619125</xdr:colOff>
      <xdr:row>30</xdr:row>
      <xdr:rowOff>190500</xdr:rowOff>
    </xdr:from>
    <xdr:to>
      <xdr:col>8</xdr:col>
      <xdr:colOff>9525</xdr:colOff>
      <xdr:row>32</xdr:row>
      <xdr:rowOff>38100</xdr:rowOff>
    </xdr:to>
    <xdr:sp>
      <xdr:nvSpPr>
        <xdr:cNvPr id="4" name="TextBox 7">
          <a:hlinkClick r:id="rId4"/>
        </xdr:cNvPr>
        <xdr:cNvSpPr txBox="1">
          <a:spLocks noChangeArrowheads="1"/>
        </xdr:cNvSpPr>
      </xdr:nvSpPr>
      <xdr:spPr>
        <a:xfrm>
          <a:off x="1838325" y="7077075"/>
          <a:ext cx="3190875" cy="3333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GO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233</xdr:row>
      <xdr:rowOff>19050</xdr:rowOff>
    </xdr:from>
    <xdr:to>
      <xdr:col>9</xdr:col>
      <xdr:colOff>704850</xdr:colOff>
      <xdr:row>234</xdr:row>
      <xdr:rowOff>47625</xdr:rowOff>
    </xdr:to>
    <xdr:sp>
      <xdr:nvSpPr>
        <xdr:cNvPr id="1" name="TextBox 5">
          <a:hlinkClick r:id="rId1"/>
        </xdr:cNvPr>
        <xdr:cNvSpPr txBox="1">
          <a:spLocks noChangeArrowheads="1"/>
        </xdr:cNvSpPr>
      </xdr:nvSpPr>
      <xdr:spPr>
        <a:xfrm>
          <a:off x="2019300" y="46320075"/>
          <a:ext cx="3724275" cy="2571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6</xdr:col>
      <xdr:colOff>161925</xdr:colOff>
      <xdr:row>233</xdr:row>
      <xdr:rowOff>228600</xdr:rowOff>
    </xdr:from>
    <xdr:to>
      <xdr:col>10</xdr:col>
      <xdr:colOff>552450</xdr:colOff>
      <xdr:row>234</xdr:row>
      <xdr:rowOff>257175</xdr:rowOff>
    </xdr:to>
    <xdr:sp>
      <xdr:nvSpPr>
        <xdr:cNvPr id="2" name="TextBox 6">
          <a:hlinkClick r:id="rId2"/>
        </xdr:cNvPr>
        <xdr:cNvSpPr txBox="1">
          <a:spLocks noChangeArrowheads="1"/>
        </xdr:cNvSpPr>
      </xdr:nvSpPr>
      <xdr:spPr>
        <a:xfrm>
          <a:off x="3009900" y="46529625"/>
          <a:ext cx="3543300"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2:K54"/>
  <sheetViews>
    <sheetView showGridLines="0" tabSelected="1" zoomScalePageLayoutView="0" workbookViewId="0" topLeftCell="A1">
      <selection activeCell="A1" sqref="A1"/>
    </sheetView>
  </sheetViews>
  <sheetFormatPr defaultColWidth="9.140625" defaultRowHeight="12.75"/>
  <cols>
    <col min="1" max="2" width="9.140625" style="6" customWidth="1"/>
    <col min="3" max="3" width="11.28125" style="6" bestFit="1" customWidth="1"/>
    <col min="4" max="8" width="9.140625" style="6" customWidth="1"/>
    <col min="9" max="9" width="23.00390625" style="6" customWidth="1"/>
    <col min="10" max="16384" width="9.140625" style="6" customWidth="1"/>
  </cols>
  <sheetData>
    <row r="1" s="182" customFormat="1" ht="15"/>
    <row r="2" spans="1:10" s="182" customFormat="1" ht="15">
      <c r="A2" s="186"/>
      <c r="B2" s="186"/>
      <c r="C2" s="186"/>
      <c r="D2" s="186"/>
      <c r="E2" s="186"/>
      <c r="F2" s="186"/>
      <c r="G2" s="186"/>
      <c r="H2" s="186"/>
      <c r="I2" s="186"/>
      <c r="J2" s="186"/>
    </row>
    <row r="3" spans="1:10" s="189" customFormat="1" ht="27">
      <c r="A3" s="187" t="s">
        <v>174</v>
      </c>
      <c r="B3" s="188"/>
      <c r="C3" s="188"/>
      <c r="D3" s="188"/>
      <c r="E3" s="188"/>
      <c r="F3" s="188"/>
      <c r="G3" s="188"/>
      <c r="H3" s="188"/>
      <c r="I3" s="188"/>
      <c r="J3" s="188"/>
    </row>
    <row r="4" spans="1:10" s="189" customFormat="1" ht="15" customHeight="1">
      <c r="A4" s="187"/>
      <c r="B4" s="188"/>
      <c r="C4" s="188"/>
      <c r="D4" s="188"/>
      <c r="E4" s="188"/>
      <c r="F4" s="188"/>
      <c r="G4" s="188"/>
      <c r="H4" s="188"/>
      <c r="I4" s="188"/>
      <c r="J4" s="188"/>
    </row>
    <row r="5" ht="20.25">
      <c r="F5" s="180" t="s">
        <v>20</v>
      </c>
    </row>
    <row r="6" spans="6:11" ht="26.25">
      <c r="F6" s="181" t="s">
        <v>131</v>
      </c>
      <c r="G6" s="95"/>
      <c r="H6" s="95"/>
      <c r="I6" s="95"/>
      <c r="J6" s="95"/>
      <c r="K6" s="30"/>
    </row>
    <row r="7" spans="7:11" ht="30">
      <c r="G7" s="62"/>
      <c r="H7" s="31"/>
      <c r="I7" s="31"/>
      <c r="J7" s="31"/>
      <c r="K7" s="31"/>
    </row>
    <row r="8" spans="7:11" ht="23.25">
      <c r="G8" s="61"/>
      <c r="H8" s="94"/>
      <c r="J8" s="94"/>
      <c r="K8" s="29"/>
    </row>
    <row r="11" spans="3:9" ht="18">
      <c r="C11" s="28"/>
      <c r="H11" s="63" t="s">
        <v>36</v>
      </c>
      <c r="I11" s="93" t="s">
        <v>179</v>
      </c>
    </row>
    <row r="12" ht="15.75">
      <c r="K12" s="32"/>
    </row>
    <row r="13" spans="10:11" ht="15.75">
      <c r="J13" s="35"/>
      <c r="K13" s="32"/>
    </row>
    <row r="16" spans="2:10" ht="18">
      <c r="B16" s="59"/>
      <c r="C16" s="59"/>
      <c r="D16" s="59"/>
      <c r="E16" s="59"/>
      <c r="F16" s="59"/>
      <c r="G16" s="59"/>
      <c r="H16" s="59"/>
      <c r="I16" s="59"/>
      <c r="J16" s="59"/>
    </row>
    <row r="17" spans="2:10" s="182" customFormat="1" ht="18" customHeight="1">
      <c r="B17" s="213" t="s">
        <v>180</v>
      </c>
      <c r="C17" s="213"/>
      <c r="D17" s="213"/>
      <c r="E17" s="213"/>
      <c r="F17" s="213"/>
      <c r="G17" s="213"/>
      <c r="H17" s="213"/>
      <c r="I17" s="213"/>
      <c r="J17" s="66"/>
    </row>
    <row r="18" spans="2:10" s="182" customFormat="1" ht="18" customHeight="1">
      <c r="B18" s="213"/>
      <c r="C18" s="213"/>
      <c r="D18" s="213"/>
      <c r="E18" s="213"/>
      <c r="F18" s="213"/>
      <c r="G18" s="213"/>
      <c r="H18" s="213"/>
      <c r="I18" s="213"/>
      <c r="J18" s="66"/>
    </row>
    <row r="19" spans="2:10" s="182" customFormat="1" ht="18" customHeight="1">
      <c r="B19" s="213"/>
      <c r="C19" s="213"/>
      <c r="D19" s="213"/>
      <c r="E19" s="213"/>
      <c r="F19" s="213"/>
      <c r="G19" s="213"/>
      <c r="H19" s="213"/>
      <c r="I19" s="213"/>
      <c r="J19" s="66"/>
    </row>
    <row r="20" spans="2:10" s="182" customFormat="1" ht="18" customHeight="1">
      <c r="B20" s="213"/>
      <c r="C20" s="213"/>
      <c r="D20" s="213"/>
      <c r="E20" s="213"/>
      <c r="F20" s="213"/>
      <c r="G20" s="213"/>
      <c r="H20" s="213"/>
      <c r="I20" s="213"/>
      <c r="J20" s="66"/>
    </row>
    <row r="21" spans="2:10" s="182" customFormat="1" ht="18" customHeight="1">
      <c r="B21" s="213"/>
      <c r="C21" s="213"/>
      <c r="D21" s="213"/>
      <c r="E21" s="213"/>
      <c r="F21" s="213"/>
      <c r="G21" s="213"/>
      <c r="H21" s="213"/>
      <c r="I21" s="213"/>
      <c r="J21" s="66"/>
    </row>
    <row r="22" spans="2:10" s="182" customFormat="1" ht="18" customHeight="1">
      <c r="B22" s="213"/>
      <c r="C22" s="213"/>
      <c r="D22" s="213"/>
      <c r="E22" s="213"/>
      <c r="F22" s="213"/>
      <c r="G22" s="213"/>
      <c r="H22" s="213"/>
      <c r="I22" s="213"/>
      <c r="J22" s="66"/>
    </row>
    <row r="23" spans="2:10" s="182" customFormat="1" ht="18" customHeight="1">
      <c r="B23" s="213"/>
      <c r="C23" s="213"/>
      <c r="D23" s="213"/>
      <c r="E23" s="213"/>
      <c r="F23" s="213"/>
      <c r="G23" s="213"/>
      <c r="H23" s="213"/>
      <c r="I23" s="213"/>
      <c r="J23" s="66"/>
    </row>
    <row r="24" spans="2:10" s="182" customFormat="1" ht="18" customHeight="1">
      <c r="B24" s="213"/>
      <c r="C24" s="213"/>
      <c r="D24" s="213"/>
      <c r="E24" s="213"/>
      <c r="F24" s="213"/>
      <c r="G24" s="213"/>
      <c r="H24" s="213"/>
      <c r="I24" s="213"/>
      <c r="J24" s="66"/>
    </row>
    <row r="25" spans="2:10" s="182" customFormat="1" ht="18" customHeight="1">
      <c r="B25" s="213"/>
      <c r="C25" s="213"/>
      <c r="D25" s="213"/>
      <c r="E25" s="213"/>
      <c r="F25" s="213"/>
      <c r="G25" s="213"/>
      <c r="H25" s="213"/>
      <c r="I25" s="213"/>
      <c r="J25" s="66"/>
    </row>
    <row r="26" spans="2:9" s="182" customFormat="1" ht="18" customHeight="1">
      <c r="B26" s="213" t="s">
        <v>171</v>
      </c>
      <c r="C26" s="213"/>
      <c r="D26" s="213"/>
      <c r="E26" s="213"/>
      <c r="F26" s="213"/>
      <c r="G26" s="213"/>
      <c r="H26" s="213"/>
      <c r="I26" s="213"/>
    </row>
    <row r="27" spans="2:10" s="182" customFormat="1" ht="18" customHeight="1">
      <c r="B27" s="213"/>
      <c r="C27" s="213"/>
      <c r="D27" s="213"/>
      <c r="E27" s="213"/>
      <c r="F27" s="213"/>
      <c r="G27" s="213"/>
      <c r="H27" s="213"/>
      <c r="I27" s="213"/>
      <c r="J27" s="66"/>
    </row>
    <row r="28" spans="2:10" s="182" customFormat="1" ht="18" customHeight="1">
      <c r="B28" s="213"/>
      <c r="C28" s="213"/>
      <c r="D28" s="213"/>
      <c r="E28" s="213"/>
      <c r="F28" s="213"/>
      <c r="G28" s="213"/>
      <c r="H28" s="213"/>
      <c r="I28" s="213"/>
      <c r="J28" s="66"/>
    </row>
    <row r="29" spans="2:10" s="182" customFormat="1" ht="18" customHeight="1">
      <c r="B29" s="213"/>
      <c r="C29" s="213"/>
      <c r="D29" s="213"/>
      <c r="E29" s="213"/>
      <c r="F29" s="213"/>
      <c r="G29" s="213"/>
      <c r="H29" s="213"/>
      <c r="I29" s="213"/>
      <c r="J29" s="57"/>
    </row>
    <row r="30" spans="2:10" s="182" customFormat="1" ht="18" customHeight="1">
      <c r="B30" s="183"/>
      <c r="C30" s="183"/>
      <c r="D30" s="183"/>
      <c r="E30" s="183"/>
      <c r="F30" s="183"/>
      <c r="G30" s="183"/>
      <c r="H30" s="183"/>
      <c r="I30" s="183"/>
      <c r="J30" s="57"/>
    </row>
    <row r="31" spans="2:10" s="208" customFormat="1" ht="18" customHeight="1">
      <c r="B31" s="184" t="s">
        <v>172</v>
      </c>
      <c r="C31" s="184"/>
      <c r="D31" s="184"/>
      <c r="E31" s="184"/>
      <c r="F31" s="184"/>
      <c r="G31" s="184"/>
      <c r="H31" s="184"/>
      <c r="I31" s="184"/>
      <c r="J31" s="184"/>
    </row>
    <row r="32" spans="2:10" s="208" customFormat="1" ht="20.25" customHeight="1">
      <c r="B32" s="209" t="s">
        <v>173</v>
      </c>
      <c r="C32" s="184"/>
      <c r="D32" s="184"/>
      <c r="E32" s="184"/>
      <c r="F32" s="184"/>
      <c r="G32" s="184"/>
      <c r="H32" s="184"/>
      <c r="I32" s="184"/>
      <c r="J32" s="184"/>
    </row>
    <row r="33" spans="2:10" s="208" customFormat="1" ht="18" customHeight="1">
      <c r="B33" s="184" t="s">
        <v>183</v>
      </c>
      <c r="C33" s="185"/>
      <c r="D33" s="185"/>
      <c r="E33" s="185"/>
      <c r="F33" s="185"/>
      <c r="I33" s="185"/>
      <c r="J33" s="185"/>
    </row>
    <row r="34" spans="2:9" s="208" customFormat="1" ht="18" customHeight="1">
      <c r="B34" s="184" t="s">
        <v>182</v>
      </c>
      <c r="C34" s="210"/>
      <c r="D34" s="210"/>
      <c r="E34" s="210"/>
      <c r="F34" s="210"/>
      <c r="G34" s="210"/>
      <c r="H34" s="210"/>
      <c r="I34" s="210"/>
    </row>
    <row r="35" spans="2:10" s="182" customFormat="1" ht="18" customHeight="1">
      <c r="B35" s="183"/>
      <c r="C35" s="183"/>
      <c r="D35" s="183"/>
      <c r="E35" s="183"/>
      <c r="F35" s="183"/>
      <c r="G35" s="183"/>
      <c r="H35" s="183"/>
      <c r="I35" s="183"/>
      <c r="J35" s="57"/>
    </row>
    <row r="36" spans="2:10" s="182" customFormat="1" ht="18" customHeight="1">
      <c r="B36" s="214" t="s">
        <v>181</v>
      </c>
      <c r="C36" s="214"/>
      <c r="D36" s="214"/>
      <c r="E36" s="214"/>
      <c r="F36" s="214"/>
      <c r="G36" s="214"/>
      <c r="H36" s="214"/>
      <c r="I36" s="214"/>
      <c r="J36" s="66"/>
    </row>
    <row r="37" spans="2:10" s="182" customFormat="1" ht="18" customHeight="1">
      <c r="B37" s="214"/>
      <c r="C37" s="214"/>
      <c r="D37" s="214"/>
      <c r="E37" s="214"/>
      <c r="F37" s="214"/>
      <c r="G37" s="214"/>
      <c r="H37" s="214"/>
      <c r="I37" s="214"/>
      <c r="J37" s="66"/>
    </row>
    <row r="38" spans="2:10" s="182" customFormat="1" ht="18" customHeight="1">
      <c r="B38" s="214"/>
      <c r="C38" s="214"/>
      <c r="D38" s="214"/>
      <c r="E38" s="214"/>
      <c r="F38" s="214"/>
      <c r="G38" s="214"/>
      <c r="H38" s="214"/>
      <c r="I38" s="214"/>
      <c r="J38" s="66"/>
    </row>
    <row r="39" spans="2:10" ht="16.5" customHeight="1">
      <c r="B39" s="37"/>
      <c r="C39" s="37"/>
      <c r="D39" s="37"/>
      <c r="E39" s="37"/>
      <c r="F39" s="37"/>
      <c r="G39" s="37"/>
      <c r="H39" s="37"/>
      <c r="I39" s="37"/>
      <c r="J39" s="37"/>
    </row>
    <row r="40" spans="2:11" ht="15">
      <c r="B40" s="37"/>
      <c r="C40" s="37"/>
      <c r="D40" s="37"/>
      <c r="E40" s="37"/>
      <c r="F40" s="37"/>
      <c r="G40" s="37"/>
      <c r="H40" s="37"/>
      <c r="I40" s="37"/>
      <c r="J40" s="37"/>
      <c r="K40" s="33"/>
    </row>
    <row r="41" spans="2:10" ht="15">
      <c r="B41" s="212"/>
      <c r="C41" s="212"/>
      <c r="D41" s="212"/>
      <c r="E41" s="212"/>
      <c r="F41" s="212"/>
      <c r="G41" s="212"/>
      <c r="H41" s="212"/>
      <c r="I41" s="212"/>
      <c r="J41" s="212"/>
    </row>
    <row r="42" spans="2:11" ht="15">
      <c r="B42" s="212"/>
      <c r="C42" s="212"/>
      <c r="D42" s="212"/>
      <c r="E42" s="212"/>
      <c r="F42" s="212"/>
      <c r="G42" s="212"/>
      <c r="H42" s="212"/>
      <c r="I42" s="212"/>
      <c r="J42" s="212"/>
      <c r="K42" s="33"/>
    </row>
    <row r="43" spans="2:10" ht="15">
      <c r="B43" s="212"/>
      <c r="C43" s="212"/>
      <c r="D43" s="212"/>
      <c r="E43" s="212"/>
      <c r="F43" s="212"/>
      <c r="G43" s="212"/>
      <c r="H43" s="212"/>
      <c r="I43" s="212"/>
      <c r="J43" s="212"/>
    </row>
    <row r="44" spans="2:10" ht="15">
      <c r="B44" s="212"/>
      <c r="C44" s="212"/>
      <c r="D44" s="212"/>
      <c r="E44" s="212"/>
      <c r="F44" s="212"/>
      <c r="G44" s="212"/>
      <c r="H44" s="212"/>
      <c r="I44" s="212"/>
      <c r="J44" s="212"/>
    </row>
    <row r="45" spans="2:10" ht="15">
      <c r="B45" s="212"/>
      <c r="C45" s="212"/>
      <c r="D45" s="212"/>
      <c r="E45" s="212"/>
      <c r="F45" s="212"/>
      <c r="G45" s="212"/>
      <c r="H45" s="212"/>
      <c r="I45" s="212"/>
      <c r="J45" s="212"/>
    </row>
    <row r="46" spans="2:10" ht="15">
      <c r="B46" s="57"/>
      <c r="C46" s="57"/>
      <c r="D46" s="57"/>
      <c r="E46" s="57"/>
      <c r="F46" s="57"/>
      <c r="G46" s="57"/>
      <c r="H46" s="57"/>
      <c r="I46" s="57"/>
      <c r="J46" s="57"/>
    </row>
    <row r="48" spans="2:10" ht="15">
      <c r="B48" s="212"/>
      <c r="C48" s="212"/>
      <c r="D48" s="212"/>
      <c r="E48" s="212"/>
      <c r="F48" s="212"/>
      <c r="G48" s="212"/>
      <c r="H48" s="212"/>
      <c r="I48" s="212"/>
      <c r="J48" s="212"/>
    </row>
    <row r="49" spans="2:10" ht="15">
      <c r="B49" s="212"/>
      <c r="C49" s="212"/>
      <c r="D49" s="212"/>
      <c r="E49" s="212"/>
      <c r="F49" s="212"/>
      <c r="G49" s="212"/>
      <c r="H49" s="212"/>
      <c r="I49" s="212"/>
      <c r="J49" s="212"/>
    </row>
    <row r="50" spans="2:10" ht="15">
      <c r="B50" s="34"/>
      <c r="C50" s="34"/>
      <c r="D50" s="34"/>
      <c r="E50" s="34"/>
      <c r="F50" s="34"/>
      <c r="G50" s="34"/>
      <c r="H50" s="34"/>
      <c r="I50" s="34"/>
      <c r="J50" s="34"/>
    </row>
    <row r="52" spans="2:10" ht="15">
      <c r="B52" s="58"/>
      <c r="C52" s="58"/>
      <c r="D52" s="58"/>
      <c r="E52" s="58"/>
      <c r="F52" s="58"/>
      <c r="G52" s="58"/>
      <c r="H52" s="58"/>
      <c r="I52" s="58"/>
      <c r="J52" s="58"/>
    </row>
    <row r="53" spans="2:10" ht="15">
      <c r="B53" s="58"/>
      <c r="C53" s="58"/>
      <c r="D53" s="58"/>
      <c r="E53" s="58"/>
      <c r="F53" s="58"/>
      <c r="G53" s="58"/>
      <c r="H53" s="58"/>
      <c r="I53" s="58"/>
      <c r="J53" s="58"/>
    </row>
    <row r="54" spans="2:10" ht="15">
      <c r="B54" s="58"/>
      <c r="C54" s="58"/>
      <c r="D54" s="58"/>
      <c r="E54" s="58"/>
      <c r="F54" s="58"/>
      <c r="G54" s="58"/>
      <c r="H54" s="58"/>
      <c r="I54" s="58"/>
      <c r="J54" s="58"/>
    </row>
  </sheetData>
  <sheetProtection password="C6A6" sheet="1" objects="1" scenarios="1"/>
  <mergeCells count="5">
    <mergeCell ref="B48:J49"/>
    <mergeCell ref="B41:J45"/>
    <mergeCell ref="B17:I25"/>
    <mergeCell ref="B26:I29"/>
    <mergeCell ref="B36:I38"/>
  </mergeCells>
  <printOptions/>
  <pageMargins left="0.7480314960629921" right="0.7480314960629921" top="0.7480314960629921" bottom="0.984251968503937" header="0.5118110236220472" footer="0.5118110236220472"/>
  <pageSetup fitToHeight="1" fitToWidth="1" horizontalDpi="600" verticalDpi="600" orientation="portrait" scale="84"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L56"/>
  <sheetViews>
    <sheetView workbookViewId="0" topLeftCell="A1">
      <selection activeCell="B2" sqref="B2:K2"/>
    </sheetView>
  </sheetViews>
  <sheetFormatPr defaultColWidth="9.140625" defaultRowHeight="12.75"/>
  <cols>
    <col min="1" max="1" width="1.7109375" style="0" customWidth="1"/>
    <col min="2" max="2" width="20.7109375" style="0" customWidth="1"/>
    <col min="3" max="3" width="8.28125" style="0" customWidth="1"/>
    <col min="4" max="4" width="6.57421875" style="0" customWidth="1"/>
    <col min="5" max="5" width="4.28125" style="0" customWidth="1"/>
    <col min="6" max="6" width="12.7109375" style="0" customWidth="1"/>
    <col min="7" max="7" width="15.8515625" style="0" customWidth="1"/>
    <col min="8" max="8" width="3.57421875" style="0" customWidth="1"/>
    <col min="9" max="9" width="10.28125" style="0" customWidth="1"/>
    <col min="10" max="10" width="3.57421875" style="0" customWidth="1"/>
    <col min="11" max="11" width="13.421875" style="0" customWidth="1"/>
  </cols>
  <sheetData>
    <row r="1" spans="2:11" ht="15">
      <c r="B1" s="1"/>
      <c r="C1" s="1"/>
      <c r="E1" s="1"/>
      <c r="F1" s="1"/>
      <c r="G1" s="1"/>
      <c r="H1" s="1"/>
      <c r="I1" s="1"/>
      <c r="J1" s="1"/>
      <c r="K1" s="1"/>
    </row>
    <row r="2" spans="2:11" ht="18">
      <c r="B2" s="215" t="str">
        <f>"Flax Straw Biomass Cost of Production Summary - "&amp;Introduction!I11</f>
        <v>Flax Straw Biomass Cost of Production Summary - January, 2017</v>
      </c>
      <c r="C2" s="216"/>
      <c r="D2" s="216"/>
      <c r="E2" s="216"/>
      <c r="F2" s="216"/>
      <c r="G2" s="216"/>
      <c r="H2" s="216"/>
      <c r="I2" s="216"/>
      <c r="J2" s="216"/>
      <c r="K2" s="216"/>
    </row>
    <row r="3" spans="2:11" ht="7.5" customHeight="1">
      <c r="B3" s="177"/>
      <c r="C3" s="178"/>
      <c r="D3" s="178"/>
      <c r="E3" s="178"/>
      <c r="F3" s="178"/>
      <c r="G3" s="178"/>
      <c r="H3" s="178"/>
      <c r="I3" s="178"/>
      <c r="J3" s="178"/>
      <c r="K3" s="178"/>
    </row>
    <row r="4" spans="2:11" ht="15">
      <c r="B4" s="219" t="str">
        <f>"Based on "&amp;Input!F6&amp;" Acres -   "&amp;Input!F12&amp;" tons straw per acre"</f>
        <v>Based on 600 Acres -   0.65 tons straw per acre</v>
      </c>
      <c r="C4" s="220"/>
      <c r="D4" s="220"/>
      <c r="E4" s="220"/>
      <c r="F4" s="220"/>
      <c r="G4" s="220"/>
      <c r="H4" s="220"/>
      <c r="I4" s="220"/>
      <c r="J4" s="220"/>
      <c r="K4" s="220"/>
    </row>
    <row r="5" spans="2:11" ht="18" customHeight="1">
      <c r="B5" s="221" t="str">
        <f>""&amp;Details!F17&amp;" Total tons Straw Produced"</f>
        <v>390 Total tons Straw Produced</v>
      </c>
      <c r="C5" s="222"/>
      <c r="D5" s="222"/>
      <c r="E5" s="222"/>
      <c r="F5" s="222"/>
      <c r="G5" s="222"/>
      <c r="H5" s="222"/>
      <c r="I5" s="222"/>
      <c r="J5" s="222"/>
      <c r="K5" s="222"/>
    </row>
    <row r="6" spans="2:9" ht="7.5" customHeight="1">
      <c r="B6" s="1"/>
      <c r="D6" s="1"/>
      <c r="E6" s="1"/>
      <c r="F6" s="45"/>
      <c r="G6" s="68"/>
      <c r="H6" s="1"/>
      <c r="I6" s="68"/>
    </row>
    <row r="7" spans="2:11" ht="15" customHeight="1">
      <c r="B7" s="2" t="s">
        <v>14</v>
      </c>
      <c r="D7" s="1"/>
      <c r="E7" s="1"/>
      <c r="F7" s="67"/>
      <c r="G7" s="67" t="s">
        <v>32</v>
      </c>
      <c r="H7" s="1"/>
      <c r="I7" s="69" t="s">
        <v>62</v>
      </c>
      <c r="K7" s="11" t="s">
        <v>18</v>
      </c>
    </row>
    <row r="8" spans="2:11" ht="15" customHeight="1">
      <c r="B8" s="1" t="s">
        <v>139</v>
      </c>
      <c r="D8" s="1"/>
      <c r="E8" s="1"/>
      <c r="F8" s="76"/>
      <c r="G8" s="3">
        <f>Details!F24</f>
        <v>13.47</v>
      </c>
      <c r="H8" s="1"/>
      <c r="I8" s="3">
        <f>ROUND(G8/Input!F12,2)</f>
        <v>20.72</v>
      </c>
      <c r="K8" s="10"/>
    </row>
    <row r="9" spans="2:11" ht="15" customHeight="1">
      <c r="B9" s="1" t="s">
        <v>140</v>
      </c>
      <c r="D9" s="1"/>
      <c r="E9" s="1"/>
      <c r="F9" s="76"/>
      <c r="G9" s="3">
        <f>Details!F32</f>
        <v>3.55</v>
      </c>
      <c r="H9" s="1"/>
      <c r="I9" s="3">
        <f>ROUND(G9/Input!F12,2)</f>
        <v>5.46</v>
      </c>
      <c r="K9" s="10"/>
    </row>
    <row r="10" spans="2:11" ht="15" customHeight="1">
      <c r="B10" s="1" t="s">
        <v>141</v>
      </c>
      <c r="D10" s="1"/>
      <c r="E10" s="1"/>
      <c r="F10" s="99"/>
      <c r="G10" s="100">
        <f>Details!F45</f>
        <v>0.96</v>
      </c>
      <c r="H10" s="1"/>
      <c r="I10" s="3">
        <f>Details!F41</f>
        <v>1.4705882352941178</v>
      </c>
      <c r="K10" s="10"/>
    </row>
    <row r="11" spans="2:11" ht="15">
      <c r="B11" s="1" t="s">
        <v>142</v>
      </c>
      <c r="D11" s="1"/>
      <c r="E11" s="1"/>
      <c r="F11" s="3"/>
      <c r="G11" s="3">
        <f>Details!F50</f>
        <v>0.16</v>
      </c>
      <c r="H11" s="1"/>
      <c r="I11" s="3">
        <f>ROUND(G11/Input!F12,2)</f>
        <v>0.25</v>
      </c>
      <c r="K11" s="10"/>
    </row>
    <row r="12" spans="2:11" ht="15">
      <c r="B12" s="1" t="s">
        <v>143</v>
      </c>
      <c r="D12" s="1"/>
      <c r="E12" s="1"/>
      <c r="F12" s="27"/>
      <c r="G12" s="4">
        <f>Details!F54</f>
        <v>2.75</v>
      </c>
      <c r="H12" s="1"/>
      <c r="I12" s="4">
        <f>ROUND(G12/Input!F12,2)</f>
        <v>4.23</v>
      </c>
      <c r="K12" s="10"/>
    </row>
    <row r="13" spans="2:11" ht="15">
      <c r="B13" s="6" t="s">
        <v>0</v>
      </c>
      <c r="C13" s="7"/>
      <c r="D13" s="6"/>
      <c r="E13" s="6"/>
      <c r="F13" s="8"/>
      <c r="G13" s="8">
        <f>SUM(G8:G12)</f>
        <v>20.89</v>
      </c>
      <c r="H13" s="6"/>
      <c r="I13" s="3">
        <f>SUM(I8:I12)</f>
        <v>32.13058823529411</v>
      </c>
      <c r="K13" s="10"/>
    </row>
    <row r="14" spans="2:11" ht="15">
      <c r="B14" s="1" t="s">
        <v>144</v>
      </c>
      <c r="D14" s="1"/>
      <c r="E14" s="1"/>
      <c r="F14" s="27"/>
      <c r="G14" s="4">
        <f>Details!F60</f>
        <v>0.47</v>
      </c>
      <c r="H14" s="1"/>
      <c r="I14" s="27">
        <f>ROUND(G14/Input!F12,2)</f>
        <v>0.72</v>
      </c>
      <c r="K14" s="10"/>
    </row>
    <row r="15" spans="2:11" ht="15.75">
      <c r="B15" s="2" t="s">
        <v>15</v>
      </c>
      <c r="D15" s="1"/>
      <c r="E15" s="1"/>
      <c r="F15" s="26"/>
      <c r="G15" s="5">
        <f>G13+G14</f>
        <v>21.36</v>
      </c>
      <c r="H15" s="1"/>
      <c r="I15" s="26">
        <f>I13+I14</f>
        <v>32.85058823529411</v>
      </c>
      <c r="K15" s="10"/>
    </row>
    <row r="16" spans="2:11" ht="15.75">
      <c r="B16" s="2"/>
      <c r="D16" s="1"/>
      <c r="E16" s="1"/>
      <c r="F16" s="1"/>
      <c r="G16" s="5"/>
      <c r="H16" s="1"/>
      <c r="I16" s="36"/>
      <c r="K16" s="1"/>
    </row>
    <row r="17" spans="2:11" ht="15.75">
      <c r="B17" s="2" t="s">
        <v>16</v>
      </c>
      <c r="D17" s="1"/>
      <c r="E17" s="1"/>
      <c r="F17" s="1"/>
      <c r="G17" s="3"/>
      <c r="H17" s="1"/>
      <c r="I17" s="36"/>
      <c r="K17" s="1"/>
    </row>
    <row r="18" spans="2:11" ht="15.75">
      <c r="B18" s="9" t="s">
        <v>37</v>
      </c>
      <c r="D18" s="1"/>
      <c r="E18" s="1"/>
      <c r="F18" s="1"/>
      <c r="G18" s="3"/>
      <c r="H18" s="1"/>
      <c r="I18" s="52"/>
      <c r="K18" s="1"/>
    </row>
    <row r="19" spans="2:11" ht="15">
      <c r="B19" s="1" t="s">
        <v>91</v>
      </c>
      <c r="D19" s="1"/>
      <c r="E19" s="1"/>
      <c r="F19" s="3"/>
      <c r="G19" s="8">
        <f>Details!F76</f>
        <v>2.78</v>
      </c>
      <c r="H19" s="6"/>
      <c r="I19" s="3">
        <f>ROUND(G19/Input!F12,2)</f>
        <v>4.28</v>
      </c>
      <c r="K19" s="10"/>
    </row>
    <row r="20" spans="2:11" ht="15.75">
      <c r="B20" s="9" t="s">
        <v>38</v>
      </c>
      <c r="D20" s="1"/>
      <c r="E20" s="1"/>
      <c r="F20" s="1"/>
      <c r="G20" s="3"/>
      <c r="H20" s="1"/>
      <c r="I20" s="3"/>
      <c r="K20" s="1"/>
    </row>
    <row r="21" spans="2:11" ht="15">
      <c r="B21" s="1" t="s">
        <v>90</v>
      </c>
      <c r="D21" s="1"/>
      <c r="E21" s="1"/>
      <c r="F21" s="27"/>
      <c r="G21" s="27">
        <f>Details!F85</f>
        <v>0.17</v>
      </c>
      <c r="H21" s="23"/>
      <c r="I21" s="4">
        <f>ROUND(G21/Input!F12,2)</f>
        <v>0.26</v>
      </c>
      <c r="K21" s="10"/>
    </row>
    <row r="22" spans="2:11" ht="15.75">
      <c r="B22" s="2" t="s">
        <v>19</v>
      </c>
      <c r="D22" s="1"/>
      <c r="E22" s="1"/>
      <c r="F22" s="26"/>
      <c r="G22" s="5">
        <f>SUM(G19:G21)</f>
        <v>2.9499999999999997</v>
      </c>
      <c r="H22" s="5"/>
      <c r="I22" s="26">
        <f>SUM(I19:I21)</f>
        <v>4.54</v>
      </c>
      <c r="K22" s="10"/>
    </row>
    <row r="23" spans="2:11" ht="15.75">
      <c r="B23" s="2"/>
      <c r="D23" s="1"/>
      <c r="E23" s="1"/>
      <c r="F23" s="26"/>
      <c r="G23" s="5"/>
      <c r="H23" s="5"/>
      <c r="I23" s="3"/>
      <c r="K23" s="10"/>
    </row>
    <row r="24" spans="2:11" ht="15.75">
      <c r="B24" s="2" t="s">
        <v>17</v>
      </c>
      <c r="D24" s="1"/>
      <c r="E24" s="1"/>
      <c r="F24" s="26"/>
      <c r="G24" s="5">
        <f>G15+G22</f>
        <v>24.31</v>
      </c>
      <c r="H24" s="1"/>
      <c r="I24" s="26">
        <f>I15+I22</f>
        <v>37.39058823529411</v>
      </c>
      <c r="K24" s="10"/>
    </row>
    <row r="25" spans="2:11" ht="15" customHeight="1" thickBot="1">
      <c r="B25" s="105"/>
      <c r="C25" s="106"/>
      <c r="D25" s="107"/>
      <c r="E25" s="107"/>
      <c r="F25" s="108"/>
      <c r="G25" s="109"/>
      <c r="H25" s="107"/>
      <c r="I25" s="110"/>
      <c r="J25" s="106"/>
      <c r="K25" s="107"/>
    </row>
    <row r="26" spans="2:11" ht="15" customHeight="1" thickTop="1">
      <c r="B26" s="111" t="s">
        <v>118</v>
      </c>
      <c r="C26" s="112"/>
      <c r="D26" s="88"/>
      <c r="E26" s="88"/>
      <c r="F26" s="167" t="s">
        <v>130</v>
      </c>
      <c r="G26" s="113"/>
      <c r="H26" s="88"/>
      <c r="I26" s="140"/>
      <c r="J26" s="112"/>
      <c r="K26" s="88"/>
    </row>
    <row r="27" spans="3:11" ht="15" customHeight="1">
      <c r="C27" s="141"/>
      <c r="D27" s="55"/>
      <c r="E27" s="55"/>
      <c r="F27" s="149" t="s">
        <v>120</v>
      </c>
      <c r="G27" s="149" t="s">
        <v>119</v>
      </c>
      <c r="H27" s="144"/>
      <c r="I27" s="145"/>
      <c r="J27" s="141"/>
      <c r="K27" s="55"/>
    </row>
    <row r="28" spans="2:11" ht="15" customHeight="1">
      <c r="B28" s="55" t="str">
        <f>"Flax Straw @ $"&amp;FIXED(Details!F98,2)&amp;"/ton"</f>
        <v>Flax Straw @ $43.00/ton</v>
      </c>
      <c r="C28" s="141"/>
      <c r="D28" s="55"/>
      <c r="E28" s="147">
        <v>4</v>
      </c>
      <c r="F28" s="150">
        <f>Details!F100</f>
        <v>4.4274745161103155</v>
      </c>
      <c r="G28" s="151">
        <f>Details!F108</f>
        <v>0.015110970523484507</v>
      </c>
      <c r="H28" s="55"/>
      <c r="I28" s="146"/>
      <c r="J28" s="141"/>
      <c r="K28" s="55"/>
    </row>
    <row r="29" spans="2:11" ht="15" customHeight="1">
      <c r="B29" s="55" t="str">
        <f>"Flax Straw cubes@ $"&amp;FIXED(Details!F122,2)&amp;"/ton"</f>
        <v>Flax Straw cubes@ $83.00/ton</v>
      </c>
      <c r="C29" s="141"/>
      <c r="D29" s="55"/>
      <c r="E29" s="147">
        <v>5</v>
      </c>
      <c r="F29" s="150">
        <f>Details!F124</f>
        <v>8.546134341271147</v>
      </c>
      <c r="G29" s="151">
        <f>Details!F132</f>
        <v>0.029167956506758422</v>
      </c>
      <c r="H29" s="55"/>
      <c r="I29" s="146"/>
      <c r="J29" s="141"/>
      <c r="K29" s="55"/>
    </row>
    <row r="30" spans="2:11" ht="15" customHeight="1">
      <c r="B30" s="55" t="str">
        <f>"Coal-lignite @ $"&amp;FIXED(Input!D42,0)&amp;"/ton"</f>
        <v>Coal-lignite @ $120/ton</v>
      </c>
      <c r="C30" s="141"/>
      <c r="D30" s="55"/>
      <c r="E30" s="55"/>
      <c r="F30" s="150">
        <f>Details!F144</f>
        <v>15.202189115232594</v>
      </c>
      <c r="G30" s="151">
        <f>Details!F152</f>
        <v>0.05188507145028884</v>
      </c>
      <c r="H30" s="55"/>
      <c r="I30" s="146"/>
      <c r="J30" s="141"/>
      <c r="K30" s="55"/>
    </row>
    <row r="31" spans="2:11" ht="15" customHeight="1">
      <c r="B31" s="55" t="str">
        <f>"Wood Pellets @ $"&amp;FIXED(Input!D43,0)&amp;"/ton"</f>
        <v>Wood Pellets @ $250/ton</v>
      </c>
      <c r="C31" s="141"/>
      <c r="D31" s="55"/>
      <c r="E31" s="55"/>
      <c r="F31" s="150">
        <f>Details!F164</f>
        <v>24.68648168263059</v>
      </c>
      <c r="G31" s="151">
        <f>Details!F172</f>
        <v>0.0842549619828182</v>
      </c>
      <c r="H31" s="55"/>
      <c r="I31" s="146"/>
      <c r="J31" s="141"/>
      <c r="K31" s="55"/>
    </row>
    <row r="32" spans="2:11" ht="15" customHeight="1">
      <c r="B32" s="55" t="str">
        <f>"Oats - grain @ $"&amp;FIXED(Input!D44,2)&amp;"/bu"</f>
        <v>Oats - grain @ $3.25/bu</v>
      </c>
      <c r="C32" s="141"/>
      <c r="D32" s="55"/>
      <c r="E32" s="55"/>
      <c r="F32" s="150">
        <f>Details!F184</f>
        <v>20.391558710356257</v>
      </c>
      <c r="G32" s="151">
        <f>Details!F192</f>
        <v>0.06959638987844592</v>
      </c>
      <c r="H32" s="55"/>
      <c r="I32" s="146"/>
      <c r="J32" s="141"/>
      <c r="K32" s="55"/>
    </row>
    <row r="33" spans="2:11" ht="15" customHeight="1">
      <c r="B33" s="55" t="str">
        <f>"MB Hydro @ $"&amp;FIXED(Input!D41,5)&amp;"/kWh"</f>
        <v>MB Hydro @ $0.08861/kWh</v>
      </c>
      <c r="C33" s="141"/>
      <c r="D33" s="55"/>
      <c r="E33" s="55"/>
      <c r="F33" s="150">
        <f>Details!F198</f>
        <v>25.96249633753296</v>
      </c>
      <c r="G33" s="151">
        <f>Input!D41</f>
        <v>0.08861</v>
      </c>
      <c r="H33" s="55"/>
      <c r="I33" s="146"/>
      <c r="J33" s="141"/>
      <c r="K33" s="55"/>
    </row>
    <row r="34" spans="2:11" ht="15" customHeight="1">
      <c r="B34" s="55" t="str">
        <f>"Natural gas high E@ $"&amp;FIXED(Input!D45,4)&amp;"/cu.meter"</f>
        <v>Natural gas high E@ $0.4900/cu.meter</v>
      </c>
      <c r="C34" s="141"/>
      <c r="D34" s="55"/>
      <c r="E34" s="55"/>
      <c r="F34" s="150">
        <f>Details!F207</f>
        <v>16.216513891661506</v>
      </c>
      <c r="G34" s="151">
        <f>Details!F215</f>
        <v>0.05534696191224072</v>
      </c>
      <c r="H34" s="55"/>
      <c r="I34" s="146"/>
      <c r="J34" s="141"/>
      <c r="K34" s="55"/>
    </row>
    <row r="35" spans="2:11" ht="15" customHeight="1">
      <c r="B35" s="55" t="str">
        <f>"Natural gas low E@ $"&amp;FIXED(Input!D46,4)&amp;"/cu.meter"</f>
        <v>Natural gas low E@ $0.4900/cu.meter</v>
      </c>
      <c r="C35" s="141"/>
      <c r="D35" s="55"/>
      <c r="E35" s="55"/>
      <c r="F35" s="150">
        <f>Details!F224</f>
        <v>19.892257040438118</v>
      </c>
      <c r="G35" s="151">
        <f>Details!F232</f>
        <v>0.0678922732790153</v>
      </c>
      <c r="H35" s="55"/>
      <c r="I35" s="146"/>
      <c r="J35" s="141"/>
      <c r="K35" s="55"/>
    </row>
    <row r="36" spans="2:11" ht="15" customHeight="1">
      <c r="B36" s="55"/>
      <c r="C36" s="141"/>
      <c r="D36" s="55"/>
      <c r="E36" s="55"/>
      <c r="F36" s="150"/>
      <c r="G36" s="151"/>
      <c r="H36" s="55"/>
      <c r="I36" s="146"/>
      <c r="J36" s="141"/>
      <c r="K36" s="55"/>
    </row>
    <row r="37" spans="2:11" ht="15" customHeight="1">
      <c r="B37" s="114" t="s">
        <v>121</v>
      </c>
      <c r="C37" s="141"/>
      <c r="D37" s="55"/>
      <c r="E37" s="55"/>
      <c r="F37" s="115"/>
      <c r="G37" s="115"/>
      <c r="H37" s="55"/>
      <c r="I37" s="142"/>
      <c r="J37" s="141"/>
      <c r="K37" s="55"/>
    </row>
    <row r="38" spans="3:11" ht="15" customHeight="1">
      <c r="C38" s="141"/>
      <c r="D38" s="55"/>
      <c r="E38" s="55"/>
      <c r="F38" s="115"/>
      <c r="G38" s="143" t="s">
        <v>132</v>
      </c>
      <c r="H38" s="55"/>
      <c r="I38" s="142"/>
      <c r="J38" s="141"/>
      <c r="K38" s="55"/>
    </row>
    <row r="39" spans="2:11" ht="15" customHeight="1">
      <c r="B39" s="55" t="str">
        <f aca="true" t="shared" si="0" ref="B39:B44">B30</f>
        <v>Coal-lignite @ $120/ton</v>
      </c>
      <c r="C39" s="141"/>
      <c r="D39" s="55"/>
      <c r="E39" s="55"/>
      <c r="F39" s="115"/>
      <c r="G39" s="115">
        <f>SUM(F30*Details!F99)</f>
        <v>147.6420948616601</v>
      </c>
      <c r="H39" s="55"/>
      <c r="I39" s="142"/>
      <c r="J39" s="141"/>
      <c r="K39" s="55"/>
    </row>
    <row r="40" spans="2:11" ht="15" customHeight="1">
      <c r="B40" s="55" t="str">
        <f t="shared" si="0"/>
        <v>Wood Pellets @ $250/ton</v>
      </c>
      <c r="C40" s="141"/>
      <c r="D40" s="55"/>
      <c r="E40" s="55"/>
      <c r="F40" s="115"/>
      <c r="G40" s="115">
        <f>SUM(F31*Details!F99)</f>
        <v>239.75256739409497</v>
      </c>
      <c r="H40" s="55"/>
      <c r="I40" s="142"/>
      <c r="J40" s="141"/>
      <c r="K40" s="55"/>
    </row>
    <row r="41" spans="2:11" ht="15" customHeight="1">
      <c r="B41" s="55" t="str">
        <f t="shared" si="0"/>
        <v>Oats - grain @ $3.25/bu</v>
      </c>
      <c r="C41" s="141"/>
      <c r="D41" s="55"/>
      <c r="E41" s="55"/>
      <c r="F41" s="115"/>
      <c r="G41" s="115">
        <f>SUM(F32*Details!F99)</f>
        <v>198.04071786443282</v>
      </c>
      <c r="H41" s="55"/>
      <c r="I41" s="142"/>
      <c r="J41" s="141"/>
      <c r="K41" s="55"/>
    </row>
    <row r="42" spans="2:11" ht="15" customHeight="1">
      <c r="B42" s="55" t="str">
        <f t="shared" si="0"/>
        <v>MB Hydro @ $0.08861/kWh</v>
      </c>
      <c r="C42" s="141"/>
      <c r="D42" s="55"/>
      <c r="E42" s="55"/>
      <c r="F42" s="115"/>
      <c r="G42" s="115">
        <f>F33*Details!F99</f>
        <v>252.14509029299737</v>
      </c>
      <c r="H42" s="55"/>
      <c r="I42" s="142"/>
      <c r="J42" s="141"/>
      <c r="K42" s="55"/>
    </row>
    <row r="43" spans="2:11" ht="15" customHeight="1">
      <c r="B43" s="55" t="str">
        <f t="shared" si="0"/>
        <v>Natural gas high E@ $0.4900/cu.meter</v>
      </c>
      <c r="C43" s="141"/>
      <c r="D43" s="55"/>
      <c r="E43" s="55"/>
      <c r="F43" s="115"/>
      <c r="G43" s="115">
        <f>F34*Details!F99</f>
        <v>157.49311261488572</v>
      </c>
      <c r="H43" s="55"/>
      <c r="I43" s="142"/>
      <c r="J43" s="141"/>
      <c r="K43" s="55"/>
    </row>
    <row r="44" spans="2:11" ht="15" customHeight="1">
      <c r="B44" s="55" t="str">
        <f t="shared" si="0"/>
        <v>Natural gas low E@ $0.4900/cu.meter</v>
      </c>
      <c r="C44" s="141"/>
      <c r="D44" s="55"/>
      <c r="E44" s="55"/>
      <c r="F44" s="115"/>
      <c r="G44" s="115">
        <f>F35*Details!F99</f>
        <v>193.19155147425985</v>
      </c>
      <c r="H44" s="55"/>
      <c r="I44" s="142"/>
      <c r="J44" s="141"/>
      <c r="K44" s="55"/>
    </row>
    <row r="45" spans="2:11" ht="15" customHeight="1">
      <c r="B45" s="55"/>
      <c r="C45" s="141"/>
      <c r="D45" s="55"/>
      <c r="E45" s="55"/>
      <c r="F45" s="115"/>
      <c r="G45" s="115"/>
      <c r="H45" s="55"/>
      <c r="I45" s="142"/>
      <c r="J45" s="141"/>
      <c r="K45" s="55"/>
    </row>
    <row r="46" spans="2:11" ht="15" customHeight="1" thickBot="1">
      <c r="B46" s="161" t="str">
        <f>"  Breakeven flax straw $/ton = $ per million Btu x "&amp;FIXED(Details!F99,4)&amp;" million Btu per ton flax straw."</f>
        <v>  Breakeven flax straw $/ton = $ per million Btu x 9.7119 million Btu per ton flax straw.</v>
      </c>
      <c r="C46" s="162"/>
      <c r="D46" s="163"/>
      <c r="E46" s="163"/>
      <c r="F46" s="164"/>
      <c r="G46" s="164"/>
      <c r="H46" s="163"/>
      <c r="I46" s="165"/>
      <c r="J46" s="162"/>
      <c r="K46" s="163"/>
    </row>
    <row r="47" spans="2:12" ht="13.5" thickTop="1">
      <c r="B47" s="89" t="str">
        <f>"1. The cost of custom baling is based on $"&amp;FIXED(Input!F16,2)&amp;" per bale."</f>
        <v>1. The cost of custom baling is based on $11.40 per bale.</v>
      </c>
      <c r="C47" s="66"/>
      <c r="D47" s="66"/>
      <c r="E47" s="66"/>
      <c r="F47" s="66"/>
      <c r="G47" s="66"/>
      <c r="H47" s="66"/>
      <c r="I47" s="66"/>
      <c r="J47" s="66"/>
      <c r="K47" s="66"/>
      <c r="L47" s="66"/>
    </row>
    <row r="48" spans="2:12" ht="12.75">
      <c r="B48" s="89" t="str">
        <f>"2. The cost of custom field moving of bales is based on $"&amp;FIXED(Input!F17,2)&amp;" per bale."</f>
        <v>2. The cost of custom field moving of bales is based on $3.00 per bale.</v>
      </c>
      <c r="C48" s="66"/>
      <c r="D48" s="66"/>
      <c r="E48" s="66"/>
      <c r="F48" s="66"/>
      <c r="G48" s="66"/>
      <c r="H48" s="66"/>
      <c r="I48" s="66"/>
      <c r="J48" s="66"/>
      <c r="K48" s="66"/>
      <c r="L48" s="66"/>
    </row>
    <row r="49" spans="2:12" ht="12.75">
      <c r="B49" s="89" t="str">
        <f>"3. The cost of custom hauling is based on $"&amp;FIXED(Input!F20,2)&amp;"/mile for "&amp;Input!F21&amp;" miles."</f>
        <v>3. The cost of custom hauling is based on $5.50/mile for 5 miles.</v>
      </c>
      <c r="C49" s="66"/>
      <c r="D49" s="66"/>
      <c r="E49" s="66"/>
      <c r="F49" s="66"/>
      <c r="G49" s="66"/>
      <c r="H49" s="66"/>
      <c r="I49" s="66"/>
      <c r="J49" s="66"/>
      <c r="K49" s="66"/>
      <c r="L49" s="66"/>
    </row>
    <row r="50" spans="2:12" ht="12.75">
      <c r="B50" s="89" t="str">
        <f>"4. Total straw Cost of Production (COP) + "&amp;(Input!F9*100)&amp;"% producer markup (risk, managment and profit margin)."</f>
        <v>4. Total straw Cost of Production (COP) + 15% producer markup (risk, managment and profit margin).</v>
      </c>
      <c r="C50" s="66"/>
      <c r="D50" s="66"/>
      <c r="E50" s="66"/>
      <c r="F50" s="66"/>
      <c r="G50" s="66"/>
      <c r="H50" s="66"/>
      <c r="I50" s="66"/>
      <c r="J50" s="66"/>
      <c r="K50" s="66"/>
      <c r="L50" s="66"/>
    </row>
    <row r="51" spans="2:12" ht="12.75">
      <c r="B51" s="89" t="str">
        <f>"5. Total straw COP + "&amp;(Input!F9*100)&amp;"% producer markup  + $"&amp;FIXED(Input!F29,2)&amp;"/ton straw cube production cost."</f>
        <v>5. Total straw COP + 15% producer markup  + $40.00/ton straw cube production cost.</v>
      </c>
      <c r="C51" s="66"/>
      <c r="D51" s="66"/>
      <c r="E51" s="66"/>
      <c r="F51" s="66"/>
      <c r="G51" s="66"/>
      <c r="H51" s="66"/>
      <c r="I51" s="66"/>
      <c r="J51" s="66"/>
      <c r="K51" s="66"/>
      <c r="L51" s="66"/>
    </row>
    <row r="52" spans="2:12" ht="12.75">
      <c r="B52" s="89"/>
      <c r="C52" s="66"/>
      <c r="D52" s="66"/>
      <c r="E52" s="66"/>
      <c r="F52" s="66"/>
      <c r="G52" s="66"/>
      <c r="H52" s="66"/>
      <c r="I52" s="66"/>
      <c r="J52" s="66"/>
      <c r="K52" s="66"/>
      <c r="L52" s="66"/>
    </row>
    <row r="53" spans="2:11" ht="12.75">
      <c r="B53" s="217" t="s">
        <v>39</v>
      </c>
      <c r="C53" s="218"/>
      <c r="D53" s="218"/>
      <c r="E53" s="218"/>
      <c r="F53" s="218"/>
      <c r="G53" s="218"/>
      <c r="H53" s="218"/>
      <c r="I53" s="218"/>
      <c r="J53" s="218"/>
      <c r="K53" s="218"/>
    </row>
    <row r="54" spans="2:11" ht="12.75">
      <c r="B54" s="218"/>
      <c r="C54" s="218"/>
      <c r="D54" s="218"/>
      <c r="E54" s="218"/>
      <c r="F54" s="218"/>
      <c r="G54" s="218"/>
      <c r="H54" s="218"/>
      <c r="I54" s="218"/>
      <c r="J54" s="218"/>
      <c r="K54" s="218"/>
    </row>
    <row r="55" spans="2:11" ht="12.75">
      <c r="B55" s="218"/>
      <c r="C55" s="218"/>
      <c r="D55" s="218"/>
      <c r="E55" s="218"/>
      <c r="F55" s="218"/>
      <c r="G55" s="218"/>
      <c r="H55" s="218"/>
      <c r="I55" s="218"/>
      <c r="J55" s="218"/>
      <c r="K55" s="218"/>
    </row>
    <row r="56" spans="2:11" ht="12.75">
      <c r="B56" s="77"/>
      <c r="C56" s="77"/>
      <c r="D56" s="77"/>
      <c r="E56" s="77"/>
      <c r="F56" s="77"/>
      <c r="G56" s="77"/>
      <c r="H56" s="77"/>
      <c r="I56" s="77"/>
      <c r="J56" s="77"/>
      <c r="K56" s="77"/>
    </row>
  </sheetData>
  <sheetProtection password="C6A6" sheet="1"/>
  <mergeCells count="4">
    <mergeCell ref="B2:K2"/>
    <mergeCell ref="B53:K55"/>
    <mergeCell ref="B4:K4"/>
    <mergeCell ref="B5:K5"/>
  </mergeCells>
  <printOptions/>
  <pageMargins left="0.75" right="0.75" top="1" bottom="1" header="0.5" footer="0.5"/>
  <pageSetup firstPageNumber="2" useFirstPageNumber="1" fitToHeight="1" fitToWidth="1" horizontalDpi="600" verticalDpi="600" orientation="portrait" scale="83" r:id="rId1"/>
  <headerFooter alignWithMargins="0">
    <oddHeader>&amp;LGuidelines: Flax Straw Biomass Production Costs&amp;R&amp;P</oddHeader>
    <oddFooter xml:space="preserve">&amp;RManitoba Agriculture </oddFooter>
  </headerFooter>
  <ignoredErrors>
    <ignoredError sqref="I13 I10" formula="1"/>
    <ignoredError sqref="I22 G22" emptyCellReference="1"/>
  </ignoredErrors>
</worksheet>
</file>

<file path=xl/worksheets/sheet3.xml><?xml version="1.0" encoding="utf-8"?>
<worksheet xmlns="http://schemas.openxmlformats.org/spreadsheetml/2006/main" xmlns:r="http://schemas.openxmlformats.org/officeDocument/2006/relationships">
  <sheetPr codeName="Sheet1">
    <pageSetUpPr fitToPage="1"/>
  </sheetPr>
  <dimension ref="B1:J59"/>
  <sheetViews>
    <sheetView workbookViewId="0" topLeftCell="A2">
      <selection activeCell="B2" sqref="B2:I2"/>
    </sheetView>
  </sheetViews>
  <sheetFormatPr defaultColWidth="9.140625" defaultRowHeight="12.75"/>
  <cols>
    <col min="1" max="1" width="5.57421875" style="39" customWidth="1"/>
    <col min="2" max="2" width="17.421875" style="39" customWidth="1"/>
    <col min="3" max="3" width="10.8515625" style="39" customWidth="1"/>
    <col min="4" max="4" width="12.7109375" style="39" customWidth="1"/>
    <col min="5" max="5" width="12.140625" style="39" customWidth="1"/>
    <col min="6" max="6" width="14.28125" style="39" customWidth="1"/>
    <col min="7" max="7" width="12.28125" style="39" customWidth="1"/>
    <col min="8" max="8" width="8.140625" style="39" customWidth="1"/>
    <col min="9" max="16384" width="9.140625" style="39" customWidth="1"/>
  </cols>
  <sheetData>
    <row r="1" spans="2:8" ht="15">
      <c r="B1" s="38"/>
      <c r="D1" s="38"/>
      <c r="E1" s="38"/>
      <c r="F1" s="38"/>
      <c r="G1" s="38"/>
      <c r="H1" s="38"/>
    </row>
    <row r="2" spans="2:9" ht="18">
      <c r="B2" s="223" t="s">
        <v>133</v>
      </c>
      <c r="C2" s="223"/>
      <c r="D2" s="223"/>
      <c r="E2" s="223"/>
      <c r="F2" s="223"/>
      <c r="G2" s="223"/>
      <c r="H2" s="223"/>
      <c r="I2" s="223"/>
    </row>
    <row r="3" spans="2:8" ht="15">
      <c r="B3" s="38"/>
      <c r="D3" s="38"/>
      <c r="E3" s="38"/>
      <c r="F3" s="44"/>
      <c r="G3" s="38"/>
      <c r="H3" s="38"/>
    </row>
    <row r="4" spans="2:8" ht="15.75">
      <c r="B4" s="42"/>
      <c r="D4" s="38"/>
      <c r="E4" s="38"/>
      <c r="F4" s="44"/>
      <c r="G4" s="38"/>
      <c r="H4" s="38"/>
    </row>
    <row r="5" spans="2:8" ht="15.75">
      <c r="B5" s="42" t="s">
        <v>30</v>
      </c>
      <c r="D5" s="38"/>
      <c r="E5" s="38"/>
      <c r="H5" s="38"/>
    </row>
    <row r="6" spans="2:7" ht="15.75">
      <c r="B6" s="38" t="s">
        <v>24</v>
      </c>
      <c r="C6" s="38"/>
      <c r="D6" s="38"/>
      <c r="E6" s="38"/>
      <c r="F6" s="13">
        <v>600</v>
      </c>
      <c r="G6" s="38" t="s">
        <v>29</v>
      </c>
    </row>
    <row r="7" spans="2:8" ht="15">
      <c r="B7" s="38"/>
      <c r="D7" s="38"/>
      <c r="E7" s="38"/>
      <c r="F7" s="38"/>
      <c r="G7" s="38"/>
      <c r="H7" s="38"/>
    </row>
    <row r="8" spans="2:8" ht="15.75">
      <c r="B8" s="40" t="s">
        <v>83</v>
      </c>
      <c r="H8" s="38"/>
    </row>
    <row r="9" spans="2:8" ht="15.75">
      <c r="B9" s="38" t="s">
        <v>84</v>
      </c>
      <c r="C9" s="49"/>
      <c r="F9" s="130">
        <v>0.15</v>
      </c>
      <c r="H9" s="38"/>
    </row>
    <row r="10" ht="15">
      <c r="B10" s="38"/>
    </row>
    <row r="11" spans="2:8" ht="15.75">
      <c r="B11" s="40" t="s">
        <v>134</v>
      </c>
      <c r="C11" s="38"/>
      <c r="D11" s="38"/>
      <c r="E11" s="117"/>
      <c r="F11" s="116"/>
      <c r="G11" s="101"/>
      <c r="H11" s="38"/>
    </row>
    <row r="12" spans="2:8" ht="15.75">
      <c r="B12" s="38"/>
      <c r="C12" s="38" t="s">
        <v>135</v>
      </c>
      <c r="D12" s="38"/>
      <c r="E12" s="117"/>
      <c r="F12" s="119">
        <v>0.65</v>
      </c>
      <c r="G12" s="118" t="s">
        <v>136</v>
      </c>
      <c r="H12" s="38"/>
    </row>
    <row r="13" spans="2:8" ht="15.75">
      <c r="B13" s="38"/>
      <c r="C13" s="38"/>
      <c r="D13" s="38"/>
      <c r="E13" s="98"/>
      <c r="F13" s="116"/>
      <c r="G13" s="101"/>
      <c r="H13" s="38"/>
    </row>
    <row r="14" spans="2:8" ht="15">
      <c r="B14" s="38"/>
      <c r="C14" s="38"/>
      <c r="D14" s="38"/>
      <c r="E14" s="44"/>
      <c r="F14" s="44"/>
      <c r="G14" s="38"/>
      <c r="H14" s="38"/>
    </row>
    <row r="15" spans="2:9" ht="15.75">
      <c r="B15" s="92" t="s">
        <v>85</v>
      </c>
      <c r="C15" s="6"/>
      <c r="D15" s="6"/>
      <c r="E15" s="6"/>
      <c r="F15" s="6"/>
      <c r="G15" s="6"/>
      <c r="H15" s="6"/>
      <c r="I15" s="6"/>
    </row>
    <row r="16" spans="2:9" ht="15.75">
      <c r="B16" s="49" t="s">
        <v>86</v>
      </c>
      <c r="F16" s="102">
        <v>11.4</v>
      </c>
      <c r="G16" s="6" t="s">
        <v>58</v>
      </c>
      <c r="H16" s="6"/>
      <c r="I16" s="55"/>
    </row>
    <row r="17" spans="2:9" ht="15.75">
      <c r="B17" s="49" t="s">
        <v>87</v>
      </c>
      <c r="F17" s="102">
        <v>3</v>
      </c>
      <c r="G17" s="6" t="s">
        <v>58</v>
      </c>
      <c r="H17" s="6"/>
      <c r="I17" s="55"/>
    </row>
    <row r="18" spans="2:9" ht="15.75">
      <c r="B18" s="71"/>
      <c r="C18" s="90" t="s">
        <v>64</v>
      </c>
      <c r="F18" s="103">
        <v>1100</v>
      </c>
      <c r="G18" s="49" t="s">
        <v>59</v>
      </c>
      <c r="H18" s="6"/>
      <c r="I18" s="6"/>
    </row>
    <row r="19" spans="2:9" ht="15.75">
      <c r="B19" s="71"/>
      <c r="C19" s="90" t="s">
        <v>98</v>
      </c>
      <c r="F19" s="103">
        <v>13</v>
      </c>
      <c r="G19" s="49" t="s">
        <v>99</v>
      </c>
      <c r="H19" s="6"/>
      <c r="I19" s="6"/>
    </row>
    <row r="20" spans="2:9" ht="15.75">
      <c r="B20" s="49" t="s">
        <v>70</v>
      </c>
      <c r="C20" s="90"/>
      <c r="F20" s="104">
        <v>5.5</v>
      </c>
      <c r="G20" s="49" t="s">
        <v>67</v>
      </c>
      <c r="H20" s="6"/>
      <c r="I20" s="6"/>
    </row>
    <row r="21" spans="2:9" ht="15.75">
      <c r="B21" s="49" t="s">
        <v>68</v>
      </c>
      <c r="C21" s="90"/>
      <c r="F21" s="103">
        <v>5</v>
      </c>
      <c r="G21" s="49" t="s">
        <v>69</v>
      </c>
      <c r="H21" s="6"/>
      <c r="I21" s="6"/>
    </row>
    <row r="22" spans="2:9" ht="15.75">
      <c r="B22" s="49" t="s">
        <v>71</v>
      </c>
      <c r="C22" s="90"/>
      <c r="F22" s="103">
        <v>34</v>
      </c>
      <c r="G22" s="49" t="s">
        <v>72</v>
      </c>
      <c r="H22" s="6"/>
      <c r="I22" s="6"/>
    </row>
    <row r="23" spans="2:8" ht="15">
      <c r="B23" s="38"/>
      <c r="C23" s="38"/>
      <c r="D23" s="38"/>
      <c r="E23" s="44"/>
      <c r="F23" s="44"/>
      <c r="G23" s="38"/>
      <c r="H23" s="38"/>
    </row>
    <row r="24" spans="2:8" ht="15.75">
      <c r="B24" s="9" t="s">
        <v>60</v>
      </c>
      <c r="C24" s="38"/>
      <c r="D24" s="38"/>
      <c r="E24" s="44"/>
      <c r="F24" s="44"/>
      <c r="G24" s="38"/>
      <c r="H24" s="38"/>
    </row>
    <row r="25" spans="3:8" ht="15.75">
      <c r="C25" s="49" t="s">
        <v>44</v>
      </c>
      <c r="F25" s="81">
        <v>0.02</v>
      </c>
      <c r="H25" s="38"/>
    </row>
    <row r="26" spans="2:8" ht="15">
      <c r="B26" s="38"/>
      <c r="C26" s="38"/>
      <c r="D26" s="38"/>
      <c r="E26" s="44"/>
      <c r="F26" s="44"/>
      <c r="G26" s="38"/>
      <c r="H26" s="38"/>
    </row>
    <row r="27" spans="2:8" ht="15.75">
      <c r="B27" s="40" t="s">
        <v>78</v>
      </c>
      <c r="C27" s="38"/>
      <c r="D27" s="38"/>
      <c r="E27" s="44"/>
      <c r="F27" s="179"/>
      <c r="G27" s="38"/>
      <c r="H27" s="38"/>
    </row>
    <row r="28" spans="2:8" ht="15.75">
      <c r="B28" s="49"/>
      <c r="C28" s="90" t="s">
        <v>63</v>
      </c>
      <c r="D28" s="38"/>
      <c r="E28" s="44"/>
      <c r="F28" s="15">
        <v>2.75</v>
      </c>
      <c r="G28" s="38" t="s">
        <v>31</v>
      </c>
      <c r="H28" s="38"/>
    </row>
    <row r="29" spans="2:8" ht="15.75">
      <c r="B29" s="49"/>
      <c r="C29" s="90" t="s">
        <v>137</v>
      </c>
      <c r="D29" s="38"/>
      <c r="E29" s="44"/>
      <c r="F29" s="15">
        <v>40</v>
      </c>
      <c r="G29" s="38" t="s">
        <v>62</v>
      </c>
      <c r="H29" s="38"/>
    </row>
    <row r="30" spans="2:9" ht="15.75">
      <c r="B30" s="71"/>
      <c r="C30" s="90" t="s">
        <v>157</v>
      </c>
      <c r="F30" s="103">
        <v>12</v>
      </c>
      <c r="G30" s="49" t="s">
        <v>99</v>
      </c>
      <c r="H30" s="6"/>
      <c r="I30" s="6"/>
    </row>
    <row r="31" spans="2:9" ht="15.75">
      <c r="B31" s="71"/>
      <c r="C31" s="171" t="s">
        <v>165</v>
      </c>
      <c r="F31" s="103">
        <v>5</v>
      </c>
      <c r="G31" s="49" t="s">
        <v>99</v>
      </c>
      <c r="H31" s="6"/>
      <c r="I31" s="6"/>
    </row>
    <row r="32" spans="2:9" ht="15.75">
      <c r="B32" s="71"/>
      <c r="C32" s="90" t="s">
        <v>166</v>
      </c>
      <c r="F32" s="172">
        <v>12.5</v>
      </c>
      <c r="G32" s="49" t="s">
        <v>99</v>
      </c>
      <c r="H32" s="6"/>
      <c r="I32" s="6"/>
    </row>
    <row r="33" spans="2:8" ht="15.75">
      <c r="B33" s="40" t="s">
        <v>61</v>
      </c>
      <c r="C33" s="38"/>
      <c r="D33" s="38"/>
      <c r="E33" s="44"/>
      <c r="H33" s="38"/>
    </row>
    <row r="34" spans="2:8" ht="15.75">
      <c r="B34" s="49" t="s">
        <v>26</v>
      </c>
      <c r="C34" s="38"/>
      <c r="D34" s="38"/>
      <c r="E34" s="44"/>
      <c r="F34" s="168">
        <v>4.5</v>
      </c>
      <c r="G34" s="38" t="s">
        <v>1</v>
      </c>
      <c r="H34" s="38"/>
    </row>
    <row r="35" spans="2:8" ht="15.75">
      <c r="B35" s="38" t="s">
        <v>2</v>
      </c>
      <c r="C35" s="38"/>
      <c r="D35" s="38"/>
      <c r="E35" s="44"/>
      <c r="F35" s="168">
        <v>2.25</v>
      </c>
      <c r="G35" s="38" t="s">
        <v>1</v>
      </c>
      <c r="H35" s="38"/>
    </row>
    <row r="36" spans="2:8" ht="15.75">
      <c r="B36" s="38"/>
      <c r="C36" s="38"/>
      <c r="D36" s="38"/>
      <c r="E36" s="44"/>
      <c r="F36" s="14"/>
      <c r="G36" s="38"/>
      <c r="H36" s="38"/>
    </row>
    <row r="37" spans="2:8" ht="15.75">
      <c r="B37" s="40" t="s">
        <v>92</v>
      </c>
      <c r="C37" s="38"/>
      <c r="D37" s="38"/>
      <c r="E37" s="44"/>
      <c r="F37" s="14"/>
      <c r="G37" s="38"/>
      <c r="H37" s="38"/>
    </row>
    <row r="38" spans="2:8" ht="15.75">
      <c r="B38" s="40"/>
      <c r="C38" s="38"/>
      <c r="D38" s="131"/>
      <c r="F38" s="45"/>
      <c r="H38" s="41" t="s">
        <v>96</v>
      </c>
    </row>
    <row r="39" spans="2:8" ht="15.75">
      <c r="B39" s="38"/>
      <c r="C39" s="38"/>
      <c r="D39" s="226" t="s">
        <v>122</v>
      </c>
      <c r="E39" s="226"/>
      <c r="F39" s="227" t="s">
        <v>123</v>
      </c>
      <c r="G39" s="227"/>
      <c r="H39" s="152" t="s">
        <v>97</v>
      </c>
    </row>
    <row r="40" spans="2:8" ht="15">
      <c r="B40" s="38" t="s">
        <v>138</v>
      </c>
      <c r="C40" s="38"/>
      <c r="D40" s="176">
        <f>Summary!I24</f>
        <v>37.39058823529411</v>
      </c>
      <c r="E40" s="117" t="s">
        <v>100</v>
      </c>
      <c r="F40" s="174">
        <v>8587</v>
      </c>
      <c r="G40" s="174" t="s">
        <v>124</v>
      </c>
      <c r="H40" s="175">
        <v>0.65</v>
      </c>
    </row>
    <row r="41" spans="2:8" ht="15.75">
      <c r="B41" s="38" t="s">
        <v>95</v>
      </c>
      <c r="C41" s="38"/>
      <c r="D41" s="169">
        <v>0.08861</v>
      </c>
      <c r="E41" s="117" t="s">
        <v>94</v>
      </c>
      <c r="F41" s="174">
        <v>3413</v>
      </c>
      <c r="G41" s="174" t="s">
        <v>93</v>
      </c>
      <c r="H41" s="175">
        <v>1</v>
      </c>
    </row>
    <row r="42" spans="2:8" ht="15.75">
      <c r="B42" s="38" t="s">
        <v>101</v>
      </c>
      <c r="C42" s="38"/>
      <c r="D42" s="133">
        <v>120</v>
      </c>
      <c r="E42" s="117" t="s">
        <v>100</v>
      </c>
      <c r="F42" s="174">
        <v>6900</v>
      </c>
      <c r="G42" s="174" t="s">
        <v>124</v>
      </c>
      <c r="H42" s="175">
        <v>0.65</v>
      </c>
    </row>
    <row r="43" spans="2:8" ht="15.75">
      <c r="B43" s="38" t="s">
        <v>161</v>
      </c>
      <c r="C43" s="38"/>
      <c r="D43" s="133">
        <v>250</v>
      </c>
      <c r="E43" s="117" t="s">
        <v>100</v>
      </c>
      <c r="F43" s="174">
        <v>8200</v>
      </c>
      <c r="G43" s="174" t="s">
        <v>124</v>
      </c>
      <c r="H43" s="175">
        <v>0.65</v>
      </c>
    </row>
    <row r="44" spans="2:8" ht="15.75">
      <c r="B44" s="38" t="s">
        <v>162</v>
      </c>
      <c r="C44" s="38"/>
      <c r="D44" s="170">
        <v>3.25</v>
      </c>
      <c r="E44" s="117" t="s">
        <v>163</v>
      </c>
      <c r="F44" s="174">
        <v>8242</v>
      </c>
      <c r="G44" s="174" t="s">
        <v>124</v>
      </c>
      <c r="H44" s="175">
        <v>0.65</v>
      </c>
    </row>
    <row r="45" spans="2:8" ht="15.75" customHeight="1">
      <c r="B45" s="38" t="s">
        <v>155</v>
      </c>
      <c r="C45" s="38"/>
      <c r="D45" s="132">
        <v>0.49</v>
      </c>
      <c r="E45" s="117" t="s">
        <v>168</v>
      </c>
      <c r="F45" s="174">
        <v>32843.6</v>
      </c>
      <c r="G45" s="117" t="s">
        <v>168</v>
      </c>
      <c r="H45" s="175">
        <v>0.92</v>
      </c>
    </row>
    <row r="46" spans="2:8" ht="15.75" customHeight="1">
      <c r="B46" s="38" t="s">
        <v>156</v>
      </c>
      <c r="C46" s="38"/>
      <c r="D46" s="132">
        <v>0.49</v>
      </c>
      <c r="E46" s="117" t="s">
        <v>168</v>
      </c>
      <c r="F46" s="174">
        <v>32843.6</v>
      </c>
      <c r="G46" s="117" t="s">
        <v>168</v>
      </c>
      <c r="H46" s="175">
        <v>0.75</v>
      </c>
    </row>
    <row r="47" spans="2:8" ht="15.75">
      <c r="B47" s="38"/>
      <c r="C47" s="38"/>
      <c r="D47" s="38"/>
      <c r="E47" s="44"/>
      <c r="F47" s="14"/>
      <c r="G47" s="38"/>
      <c r="H47" s="38"/>
    </row>
    <row r="48" spans="2:10" ht="20.25">
      <c r="B48" s="224" t="s">
        <v>22</v>
      </c>
      <c r="C48" s="225"/>
      <c r="D48" s="225"/>
      <c r="E48" s="225"/>
      <c r="F48" s="225"/>
      <c r="G48" s="225"/>
      <c r="H48" s="225"/>
      <c r="I48" s="225"/>
      <c r="J48" s="225"/>
    </row>
    <row r="49" spans="2:10" ht="15" customHeight="1">
      <c r="B49" s="64"/>
      <c r="C49" s="65"/>
      <c r="D49" s="65"/>
      <c r="E49" s="65"/>
      <c r="F49" s="65"/>
      <c r="G49" s="65"/>
      <c r="H49" s="65"/>
      <c r="I49" s="65"/>
      <c r="J49" s="65"/>
    </row>
    <row r="50" spans="2:10" ht="15" customHeight="1">
      <c r="B50" s="71" t="s">
        <v>33</v>
      </c>
      <c r="E50" s="41" t="s">
        <v>65</v>
      </c>
      <c r="F50" s="41" t="s">
        <v>47</v>
      </c>
      <c r="G50" s="41" t="s">
        <v>23</v>
      </c>
      <c r="H50"/>
      <c r="I50" s="65"/>
      <c r="J50" s="65"/>
    </row>
    <row r="51" spans="2:10" ht="15" customHeight="1">
      <c r="B51"/>
      <c r="E51" s="43" t="s">
        <v>48</v>
      </c>
      <c r="F51" s="43" t="s">
        <v>49</v>
      </c>
      <c r="G51" s="43" t="s">
        <v>50</v>
      </c>
      <c r="H51"/>
      <c r="I51" s="65"/>
      <c r="J51" s="65"/>
    </row>
    <row r="52" spans="2:10" ht="15" customHeight="1">
      <c r="B52" s="49" t="s">
        <v>51</v>
      </c>
      <c r="E52" s="84">
        <f>E56/F6</f>
        <v>8.333333333333334</v>
      </c>
      <c r="F52" s="13">
        <v>3</v>
      </c>
      <c r="G52" s="81">
        <v>0</v>
      </c>
      <c r="H52"/>
      <c r="I52" s="65"/>
      <c r="J52" s="65"/>
    </row>
    <row r="53" spans="2:10" ht="15" customHeight="1">
      <c r="B53" s="64"/>
      <c r="C53" s="65"/>
      <c r="D53" s="65"/>
      <c r="E53" s="65"/>
      <c r="F53" s="65"/>
      <c r="G53" s="65"/>
      <c r="H53" s="65"/>
      <c r="I53" s="65"/>
      <c r="J53" s="65"/>
    </row>
    <row r="54" spans="2:10" ht="15.75">
      <c r="B54" s="45"/>
      <c r="C54" s="46"/>
      <c r="D54" s="46"/>
      <c r="E54" s="61" t="s">
        <v>52</v>
      </c>
      <c r="F54" s="45" t="s">
        <v>54</v>
      </c>
      <c r="G54" s="45" t="s">
        <v>53</v>
      </c>
      <c r="H54" s="46"/>
      <c r="I54" s="46"/>
      <c r="J54" s="46"/>
    </row>
    <row r="55" spans="2:10" ht="15.75">
      <c r="B55" s="53"/>
      <c r="C55" s="46"/>
      <c r="D55" s="46"/>
      <c r="E55" s="50" t="s">
        <v>50</v>
      </c>
      <c r="F55" s="50" t="s">
        <v>66</v>
      </c>
      <c r="G55" s="43" t="s">
        <v>65</v>
      </c>
      <c r="H55" s="46"/>
      <c r="I55" s="46"/>
      <c r="J55" s="46"/>
    </row>
    <row r="56" spans="2:10" ht="15.75">
      <c r="B56" s="47" t="s">
        <v>28</v>
      </c>
      <c r="C56" s="46"/>
      <c r="D56" s="46"/>
      <c r="E56" s="91">
        <v>5000</v>
      </c>
      <c r="F56" s="81">
        <v>1</v>
      </c>
      <c r="G56" s="97">
        <f>E56*F56</f>
        <v>5000</v>
      </c>
      <c r="H56" s="46"/>
      <c r="I56" s="46"/>
      <c r="J56" s="46"/>
    </row>
    <row r="57" spans="2:10" ht="15.75">
      <c r="B57" s="45"/>
      <c r="C57" s="46"/>
      <c r="D57" s="46"/>
      <c r="E57" s="48"/>
      <c r="F57" s="46"/>
      <c r="G57" s="46"/>
      <c r="H57" s="46"/>
      <c r="I57" s="46"/>
      <c r="J57" s="46"/>
    </row>
    <row r="58" spans="2:8" ht="15.75">
      <c r="B58" s="40" t="s">
        <v>27</v>
      </c>
      <c r="D58" s="38"/>
      <c r="E58" s="84">
        <f>+E56</f>
        <v>5000</v>
      </c>
      <c r="F58" s="44"/>
      <c r="G58" s="84">
        <f>+G56</f>
        <v>5000</v>
      </c>
      <c r="H58" s="38"/>
    </row>
    <row r="59" spans="2:8" ht="15">
      <c r="B59" s="38"/>
      <c r="D59" s="38"/>
      <c r="E59" s="44"/>
      <c r="F59" s="44"/>
      <c r="G59" s="38"/>
      <c r="H59" s="38"/>
    </row>
    <row r="60" ht="15" customHeight="1"/>
    <row r="61" ht="15" customHeight="1"/>
    <row r="62" ht="15" customHeight="1"/>
    <row r="63" ht="15" customHeight="1"/>
  </sheetData>
  <sheetProtection password="C6A6" sheet="1"/>
  <mergeCells count="4">
    <mergeCell ref="B2:I2"/>
    <mergeCell ref="B48:J48"/>
    <mergeCell ref="D39:E39"/>
    <mergeCell ref="F39:G39"/>
  </mergeCells>
  <printOptions/>
  <pageMargins left="0.75" right="0.75" top="1" bottom="1" header="0.5" footer="0.5"/>
  <pageSetup firstPageNumber="3" useFirstPageNumber="1" fitToHeight="1" fitToWidth="1" horizontalDpi="600" verticalDpi="600" orientation="portrait" scale="73" r:id="rId3"/>
  <headerFooter alignWithMargins="0">
    <oddHeader>&amp;R&amp;P</oddHeader>
    <oddFooter>&amp;RManitoba Agriculture</oddFooter>
  </headerFooter>
  <rowBreaks count="1" manualBreakCount="1">
    <brk id="58" max="255" man="1"/>
  </rowBreaks>
  <ignoredErrors>
    <ignoredError sqref="D40" unlockedFormula="1"/>
  </ignoredErrors>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Q238"/>
  <sheetViews>
    <sheetView workbookViewId="0" topLeftCell="A1">
      <selection activeCell="B2" sqref="B2:J2"/>
    </sheetView>
  </sheetViews>
  <sheetFormatPr defaultColWidth="9.140625" defaultRowHeight="12.75"/>
  <cols>
    <col min="1" max="1" width="3.57421875" style="6" customWidth="1"/>
    <col min="2" max="2" width="2.7109375" style="6" customWidth="1"/>
    <col min="3" max="3" width="2.57421875" style="6" customWidth="1"/>
    <col min="4" max="4" width="16.8515625" style="6" customWidth="1"/>
    <col min="5" max="5" width="3.8515625" style="6" customWidth="1"/>
    <col min="6" max="6" width="13.140625" style="6" customWidth="1"/>
    <col min="7" max="7" width="2.7109375" style="6" customWidth="1"/>
    <col min="8" max="8" width="15.421875" style="6" customWidth="1"/>
    <col min="9" max="9" width="14.7109375" style="6" customWidth="1"/>
    <col min="10" max="10" width="14.421875" style="6" customWidth="1"/>
    <col min="11" max="11" width="13.28125" style="6" customWidth="1"/>
    <col min="12" max="16384" width="9.140625" style="6" customWidth="1"/>
  </cols>
  <sheetData>
    <row r="1" ht="15">
      <c r="E1" s="16"/>
    </row>
    <row r="2" spans="2:10" ht="18">
      <c r="B2" s="230" t="s">
        <v>34</v>
      </c>
      <c r="C2" s="230"/>
      <c r="D2" s="230"/>
      <c r="E2" s="230"/>
      <c r="F2" s="230"/>
      <c r="G2" s="230"/>
      <c r="H2" s="230"/>
      <c r="I2" s="230"/>
      <c r="J2" s="230"/>
    </row>
    <row r="3" ht="12.75" customHeight="1">
      <c r="E3" s="16"/>
    </row>
    <row r="4" spans="2:10" ht="15">
      <c r="B4" s="233" t="str">
        <f>"1. Assumed a total of "&amp;Input!F6&amp;" acres of flax straw biomass."</f>
        <v>1. Assumed a total of 600 acres of flax straw biomass.</v>
      </c>
      <c r="C4" s="234"/>
      <c r="D4" s="234"/>
      <c r="E4" s="234"/>
      <c r="F4" s="234"/>
      <c r="G4" s="234"/>
      <c r="H4" s="234"/>
      <c r="I4" s="234"/>
      <c r="J4" s="234"/>
    </row>
    <row r="5" spans="2:10" ht="15">
      <c r="B5" s="235" t="str">
        <f>"2. Assumed an average yield of "&amp;Input!F12&amp;" tons per acre."</f>
        <v>2. Assumed an average yield of 0.65 tons per acre.</v>
      </c>
      <c r="C5" s="235"/>
      <c r="D5" s="235"/>
      <c r="E5" s="235"/>
      <c r="F5" s="235"/>
      <c r="G5" s="235"/>
      <c r="H5" s="235"/>
      <c r="I5" s="235"/>
      <c r="J5" s="235"/>
    </row>
    <row r="6" spans="2:10" ht="17.25" customHeight="1">
      <c r="B6" s="236" t="str">
        <f>"3. Assumed a "&amp;(Input!F9*100)&amp;"% producer markup per ton of straw."</f>
        <v>3. Assumed a 15% producer markup per ton of straw.</v>
      </c>
      <c r="C6" s="236"/>
      <c r="D6" s="236"/>
      <c r="E6" s="236"/>
      <c r="F6" s="236"/>
      <c r="G6" s="236"/>
      <c r="H6" s="236"/>
      <c r="I6" s="236"/>
      <c r="J6" s="236"/>
    </row>
    <row r="7" spans="2:10" ht="15">
      <c r="B7" s="231" t="str">
        <f>"4. Machinery and equipment costs for the flax straw biomass enterprise are based on custom rates.  Storage facilities were valued at $"&amp;FIXED(Input!E58,0)&amp;" in total."</f>
        <v>4. Machinery and equipment costs for the flax straw biomass enterprise are based on custom rates.  Storage facilities were valued at $5,000 in total.</v>
      </c>
      <c r="C7" s="232"/>
      <c r="D7" s="232"/>
      <c r="E7" s="232"/>
      <c r="F7" s="232"/>
      <c r="G7" s="232"/>
      <c r="H7" s="232"/>
      <c r="I7" s="232"/>
      <c r="J7" s="232"/>
    </row>
    <row r="8" spans="2:10" ht="15">
      <c r="B8" s="232"/>
      <c r="C8" s="232"/>
      <c r="D8" s="232"/>
      <c r="E8" s="232"/>
      <c r="F8" s="232"/>
      <c r="G8" s="232"/>
      <c r="H8" s="232"/>
      <c r="I8" s="232"/>
      <c r="J8" s="232"/>
    </row>
    <row r="9" spans="2:10" ht="15">
      <c r="B9" s="235" t="s">
        <v>175</v>
      </c>
      <c r="C9" s="235"/>
      <c r="D9" s="235"/>
      <c r="E9" s="235"/>
      <c r="F9" s="235"/>
      <c r="G9" s="235"/>
      <c r="H9" s="235"/>
      <c r="I9" s="235"/>
      <c r="J9" s="235"/>
    </row>
    <row r="10" spans="2:10" ht="15">
      <c r="B10" s="34"/>
      <c r="C10" s="34"/>
      <c r="D10" s="34"/>
      <c r="E10" s="34"/>
      <c r="F10" s="34"/>
      <c r="G10" s="34"/>
      <c r="H10" s="34"/>
      <c r="I10" s="34"/>
      <c r="J10" s="34"/>
    </row>
    <row r="11" spans="2:10" ht="18">
      <c r="B11" s="215" t="s">
        <v>148</v>
      </c>
      <c r="C11" s="215"/>
      <c r="D11" s="215"/>
      <c r="E11" s="215"/>
      <c r="F11" s="215"/>
      <c r="G11" s="215"/>
      <c r="H11" s="215"/>
      <c r="I11" s="215"/>
      <c r="J11" s="215"/>
    </row>
    <row r="12" spans="2:10" ht="15.75">
      <c r="B12" s="17"/>
      <c r="C12" s="17"/>
      <c r="D12" s="17"/>
      <c r="E12" s="17"/>
      <c r="F12" s="17"/>
      <c r="G12" s="17"/>
      <c r="H12" s="17"/>
      <c r="I12" s="17"/>
      <c r="J12" s="17"/>
    </row>
    <row r="13" spans="2:11" ht="15.75">
      <c r="B13" s="18" t="s">
        <v>14</v>
      </c>
      <c r="C13" s="17"/>
      <c r="D13" s="17"/>
      <c r="E13" s="17"/>
      <c r="F13" s="17"/>
      <c r="G13" s="17"/>
      <c r="H13" s="17"/>
      <c r="I13" s="17"/>
      <c r="K13" s="12" t="s">
        <v>18</v>
      </c>
    </row>
    <row r="14" spans="5:11" s="120" customFormat="1" ht="15">
      <c r="E14" s="121"/>
      <c r="H14" s="122"/>
      <c r="I14" s="123"/>
      <c r="K14" s="126"/>
    </row>
    <row r="15" spans="4:11" s="120" customFormat="1" ht="15.75">
      <c r="D15" s="9" t="s">
        <v>79</v>
      </c>
      <c r="E15" s="121"/>
      <c r="F15" s="72">
        <f>Input!F12</f>
        <v>0.65</v>
      </c>
      <c r="H15" s="122" t="s">
        <v>80</v>
      </c>
      <c r="I15" s="123"/>
      <c r="K15" s="124"/>
    </row>
    <row r="16" spans="4:11" s="120" customFormat="1" ht="15.75">
      <c r="D16" s="9"/>
      <c r="E16" s="79" t="s">
        <v>3</v>
      </c>
      <c r="F16" s="129">
        <f>Input!F6</f>
        <v>600</v>
      </c>
      <c r="H16" s="125" t="s">
        <v>25</v>
      </c>
      <c r="I16" s="123"/>
      <c r="K16" s="124"/>
    </row>
    <row r="17" spans="4:11" s="120" customFormat="1" ht="15.75">
      <c r="D17" s="9" t="s">
        <v>81</v>
      </c>
      <c r="E17" s="121" t="s">
        <v>5</v>
      </c>
      <c r="F17" s="127">
        <f>ROUND(F16*F15,0)</f>
        <v>390</v>
      </c>
      <c r="H17" s="128" t="s">
        <v>82</v>
      </c>
      <c r="I17" s="123"/>
      <c r="K17" s="124"/>
    </row>
    <row r="18" spans="4:11" ht="15.75">
      <c r="D18" s="9"/>
      <c r="E18" s="61"/>
      <c r="F18" s="26"/>
      <c r="H18" s="18"/>
      <c r="K18" s="55"/>
    </row>
    <row r="19" spans="3:12" ht="15.75">
      <c r="C19" s="9" t="s">
        <v>149</v>
      </c>
      <c r="L19" s="24"/>
    </row>
    <row r="20" spans="3:14" ht="15.75">
      <c r="C20" s="9"/>
      <c r="F20" s="134">
        <f>Input!F12</f>
        <v>0.65</v>
      </c>
      <c r="H20" s="122" t="s">
        <v>80</v>
      </c>
      <c r="K20" s="21"/>
      <c r="M20" s="75"/>
      <c r="N20" s="70"/>
    </row>
    <row r="21" spans="3:14" ht="15.75">
      <c r="C21" s="9"/>
      <c r="D21" s="9"/>
      <c r="E21" s="62" t="s">
        <v>3</v>
      </c>
      <c r="F21" s="78">
        <v>2000</v>
      </c>
      <c r="H21" s="6" t="s">
        <v>57</v>
      </c>
      <c r="K21" s="21"/>
      <c r="M21" s="75"/>
      <c r="N21" s="70"/>
    </row>
    <row r="22" spans="3:14" ht="15.75">
      <c r="C22" s="9"/>
      <c r="D22" s="9"/>
      <c r="E22" s="62" t="s">
        <v>4</v>
      </c>
      <c r="F22" s="24">
        <f>Input!F18</f>
        <v>1100</v>
      </c>
      <c r="H22" s="6" t="s">
        <v>41</v>
      </c>
      <c r="K22" s="21"/>
      <c r="M22" s="75"/>
      <c r="N22" s="70"/>
    </row>
    <row r="23" spans="3:14" ht="15.75">
      <c r="C23" s="9"/>
      <c r="D23" s="9"/>
      <c r="E23" s="79" t="s">
        <v>3</v>
      </c>
      <c r="F23" s="80">
        <f>Input!F16</f>
        <v>11.4</v>
      </c>
      <c r="G23" s="23"/>
      <c r="H23" s="23" t="s">
        <v>42</v>
      </c>
      <c r="K23" s="21"/>
      <c r="M23" s="75"/>
      <c r="N23" s="70"/>
    </row>
    <row r="24" spans="3:11" ht="15.75">
      <c r="C24" s="9"/>
      <c r="D24" s="9"/>
      <c r="E24" s="61" t="s">
        <v>5</v>
      </c>
      <c r="F24" s="70">
        <f>ROUND(((F20*F21)/F22)*F23,2)</f>
        <v>13.47</v>
      </c>
      <c r="G24" s="9"/>
      <c r="H24" s="9" t="s">
        <v>43</v>
      </c>
      <c r="K24" s="21"/>
    </row>
    <row r="25" spans="3:12" ht="15.75">
      <c r="C25" s="9"/>
      <c r="L25" s="24"/>
    </row>
    <row r="26" spans="3:14" ht="15.75">
      <c r="C26" s="9" t="s">
        <v>150</v>
      </c>
      <c r="J26" s="74"/>
      <c r="K26" s="55"/>
      <c r="M26" s="75"/>
      <c r="N26" s="70"/>
    </row>
    <row r="27" spans="3:14" ht="15.75">
      <c r="C27" s="9"/>
      <c r="D27" s="9" t="s">
        <v>40</v>
      </c>
      <c r="M27" s="75"/>
      <c r="N27" s="70"/>
    </row>
    <row r="28" spans="3:14" ht="15.75">
      <c r="C28" s="9"/>
      <c r="F28" s="20">
        <f>Input!F12</f>
        <v>0.65</v>
      </c>
      <c r="H28" s="122" t="s">
        <v>80</v>
      </c>
      <c r="K28" s="21"/>
      <c r="M28" s="75"/>
      <c r="N28" s="70"/>
    </row>
    <row r="29" spans="3:14" ht="15.75">
      <c r="C29" s="9"/>
      <c r="D29" s="9"/>
      <c r="E29" s="62" t="s">
        <v>3</v>
      </c>
      <c r="F29" s="78">
        <v>2000</v>
      </c>
      <c r="H29" s="6" t="s">
        <v>57</v>
      </c>
      <c r="K29" s="21"/>
      <c r="M29" s="75"/>
      <c r="N29" s="70"/>
    </row>
    <row r="30" spans="3:14" ht="15.75">
      <c r="C30" s="9"/>
      <c r="D30" s="9"/>
      <c r="E30" s="62" t="s">
        <v>4</v>
      </c>
      <c r="F30" s="24">
        <f>Input!F18</f>
        <v>1100</v>
      </c>
      <c r="H30" s="6" t="s">
        <v>41</v>
      </c>
      <c r="K30" s="21"/>
      <c r="M30" s="75"/>
      <c r="N30" s="70"/>
    </row>
    <row r="31" spans="3:14" ht="15.75">
      <c r="C31" s="9"/>
      <c r="D31" s="9"/>
      <c r="E31" s="79" t="s">
        <v>3</v>
      </c>
      <c r="F31" s="80">
        <f>Input!F17</f>
        <v>3</v>
      </c>
      <c r="G31" s="23"/>
      <c r="H31" s="23" t="s">
        <v>42</v>
      </c>
      <c r="K31" s="21"/>
      <c r="M31" s="75"/>
      <c r="N31" s="70"/>
    </row>
    <row r="32" spans="3:11" ht="15.75">
      <c r="C32" s="9"/>
      <c r="D32" s="9"/>
      <c r="E32" s="61" t="s">
        <v>5</v>
      </c>
      <c r="F32" s="70">
        <f>ROUND(((F28*F29)/F30)*F31,2)</f>
        <v>3.55</v>
      </c>
      <c r="G32" s="9"/>
      <c r="H32" s="9" t="s">
        <v>43</v>
      </c>
      <c r="K32" s="21"/>
    </row>
    <row r="33" spans="3:11" ht="15.75">
      <c r="C33" s="9"/>
      <c r="D33" s="9"/>
      <c r="E33" s="61"/>
      <c r="F33" s="70"/>
      <c r="G33" s="9"/>
      <c r="H33" s="9"/>
      <c r="K33" s="55"/>
    </row>
    <row r="34" spans="3:14" ht="15.75">
      <c r="C34" s="9" t="s">
        <v>151</v>
      </c>
      <c r="J34" s="74"/>
      <c r="K34" s="55"/>
      <c r="M34" s="75"/>
      <c r="N34" s="70"/>
    </row>
    <row r="35" spans="3:14" ht="15.75">
      <c r="C35" s="9"/>
      <c r="D35" s="9"/>
      <c r="F35" s="24">
        <f>Input!F21</f>
        <v>5</v>
      </c>
      <c r="H35" s="6" t="s">
        <v>73</v>
      </c>
      <c r="K35" s="21"/>
      <c r="M35" s="75"/>
      <c r="N35" s="70"/>
    </row>
    <row r="36" spans="3:14" ht="15.75">
      <c r="C36" s="9"/>
      <c r="D36" s="9"/>
      <c r="E36" s="79" t="s">
        <v>3</v>
      </c>
      <c r="F36" s="27">
        <f>Input!F20</f>
        <v>5.5</v>
      </c>
      <c r="G36" s="23"/>
      <c r="H36" s="23" t="s">
        <v>67</v>
      </c>
      <c r="K36" s="21"/>
      <c r="M36" s="75"/>
      <c r="N36" s="70"/>
    </row>
    <row r="37" spans="3:14" ht="15.75">
      <c r="C37" s="9"/>
      <c r="D37" s="9"/>
      <c r="E37" s="61" t="s">
        <v>5</v>
      </c>
      <c r="F37" s="26">
        <f>SUM(F35*F36)</f>
        <v>27.5</v>
      </c>
      <c r="G37" s="9"/>
      <c r="H37" s="9" t="s">
        <v>76</v>
      </c>
      <c r="K37" s="21"/>
      <c r="M37" s="75"/>
      <c r="N37" s="70"/>
    </row>
    <row r="38" spans="3:14" ht="15.75">
      <c r="C38" s="9"/>
      <c r="D38" s="9"/>
      <c r="F38" s="24">
        <f>Input!F22</f>
        <v>34</v>
      </c>
      <c r="H38" s="6" t="s">
        <v>74</v>
      </c>
      <c r="K38" s="21"/>
      <c r="M38" s="75"/>
      <c r="N38" s="70"/>
    </row>
    <row r="39" spans="3:14" ht="15.75">
      <c r="C39" s="9"/>
      <c r="D39" s="9"/>
      <c r="E39" s="79" t="s">
        <v>3</v>
      </c>
      <c r="F39" s="22">
        <f>Input!F18</f>
        <v>1100</v>
      </c>
      <c r="G39" s="23"/>
      <c r="H39" s="23" t="s">
        <v>41</v>
      </c>
      <c r="K39" s="21"/>
      <c r="M39" s="75"/>
      <c r="N39" s="70"/>
    </row>
    <row r="40" spans="3:14" ht="15.75">
      <c r="C40" s="9"/>
      <c r="D40" s="9"/>
      <c r="E40" s="61" t="s">
        <v>5</v>
      </c>
      <c r="F40" s="9">
        <f>SUM(F38*F39)/2000</f>
        <v>18.7</v>
      </c>
      <c r="G40" s="9"/>
      <c r="H40" s="9" t="s">
        <v>75</v>
      </c>
      <c r="K40" s="21"/>
      <c r="M40" s="75"/>
      <c r="N40" s="70"/>
    </row>
    <row r="41" spans="3:14" ht="15.75">
      <c r="C41" s="9"/>
      <c r="D41" s="9"/>
      <c r="E41" s="61" t="s">
        <v>5</v>
      </c>
      <c r="F41" s="26">
        <f>SUM(F37/F40)</f>
        <v>1.4705882352941178</v>
      </c>
      <c r="G41" s="9"/>
      <c r="H41" s="9" t="s">
        <v>62</v>
      </c>
      <c r="K41" s="21"/>
      <c r="M41" s="75"/>
      <c r="N41" s="70"/>
    </row>
    <row r="42" spans="3:14" ht="15.75">
      <c r="C42" s="9"/>
      <c r="D42" s="9"/>
      <c r="E42" s="61"/>
      <c r="F42" s="26"/>
      <c r="G42" s="9"/>
      <c r="H42" s="9"/>
      <c r="K42" s="21"/>
      <c r="M42" s="75"/>
      <c r="N42" s="70"/>
    </row>
    <row r="43" spans="3:14" ht="15.75">
      <c r="C43" s="9"/>
      <c r="F43" s="20">
        <f>Input!F12</f>
        <v>0.65</v>
      </c>
      <c r="H43" s="6" t="s">
        <v>21</v>
      </c>
      <c r="K43" s="21"/>
      <c r="M43" s="75"/>
      <c r="N43" s="70"/>
    </row>
    <row r="44" spans="3:14" ht="15.75">
      <c r="C44" s="9"/>
      <c r="E44" s="79" t="s">
        <v>3</v>
      </c>
      <c r="F44" s="27">
        <f>F41</f>
        <v>1.4705882352941178</v>
      </c>
      <c r="H44" s="6" t="s">
        <v>62</v>
      </c>
      <c r="K44" s="56"/>
      <c r="M44" s="75"/>
      <c r="N44" s="70"/>
    </row>
    <row r="45" spans="3:14" ht="15.75">
      <c r="C45" s="9"/>
      <c r="E45" s="61" t="s">
        <v>5</v>
      </c>
      <c r="F45" s="70">
        <f>ROUND(F43*F44,2)</f>
        <v>0.96</v>
      </c>
      <c r="H45" s="9" t="s">
        <v>43</v>
      </c>
      <c r="K45" s="56"/>
      <c r="M45" s="75"/>
      <c r="N45" s="70"/>
    </row>
    <row r="46" ht="15">
      <c r="E46" s="16"/>
    </row>
    <row r="47" spans="3:5" ht="15.75">
      <c r="C47" s="9" t="s">
        <v>152</v>
      </c>
      <c r="E47" s="16"/>
    </row>
    <row r="48" spans="5:11" ht="15.75">
      <c r="E48" s="74"/>
      <c r="F48" s="82">
        <f>Input!F25</f>
        <v>0.02</v>
      </c>
      <c r="H48" s="6" t="s">
        <v>45</v>
      </c>
      <c r="K48" s="21"/>
    </row>
    <row r="49" spans="5:11" ht="15">
      <c r="E49" s="85" t="s">
        <v>3</v>
      </c>
      <c r="F49" s="86">
        <f>ROUND(Input!E52,0)</f>
        <v>8</v>
      </c>
      <c r="H49" s="23" t="s">
        <v>46</v>
      </c>
      <c r="K49" s="21"/>
    </row>
    <row r="50" spans="5:11" ht="15.75">
      <c r="E50" s="74" t="s">
        <v>5</v>
      </c>
      <c r="F50" s="26">
        <f>F48*F49</f>
        <v>0.16</v>
      </c>
      <c r="H50" s="9" t="s">
        <v>43</v>
      </c>
      <c r="K50" s="21"/>
    </row>
    <row r="51" spans="4:11" ht="15.75">
      <c r="D51" s="83" t="s">
        <v>88</v>
      </c>
      <c r="F51" s="26"/>
      <c r="K51" s="55"/>
    </row>
    <row r="52" ht="15">
      <c r="E52" s="16"/>
    </row>
    <row r="53" spans="3:5" ht="15.75">
      <c r="C53" s="9" t="s">
        <v>153</v>
      </c>
      <c r="E53" s="16"/>
    </row>
    <row r="54" spans="5:11" ht="15.75">
      <c r="E54" s="61" t="s">
        <v>5</v>
      </c>
      <c r="F54" s="26">
        <f>Input!F28</f>
        <v>2.75</v>
      </c>
      <c r="G54" s="9"/>
      <c r="H54" s="18" t="s">
        <v>31</v>
      </c>
      <c r="I54" s="18"/>
      <c r="K54" s="56"/>
    </row>
    <row r="55" ht="15">
      <c r="E55" s="16"/>
    </row>
    <row r="56" spans="3:5" ht="15.75">
      <c r="C56" s="9" t="s">
        <v>154</v>
      </c>
      <c r="E56" s="16"/>
    </row>
    <row r="57" spans="5:11" ht="15">
      <c r="E57" s="16"/>
      <c r="F57" s="8">
        <f>Summary!G13</f>
        <v>20.89</v>
      </c>
      <c r="H57" s="6" t="s">
        <v>7</v>
      </c>
      <c r="K57" s="21"/>
    </row>
    <row r="58" spans="5:11" ht="15">
      <c r="E58" s="62" t="s">
        <v>4</v>
      </c>
      <c r="F58" s="24">
        <v>2</v>
      </c>
      <c r="H58" s="6" t="s">
        <v>8</v>
      </c>
      <c r="K58" s="21"/>
    </row>
    <row r="59" spans="5:11" ht="15">
      <c r="E59" s="79" t="s">
        <v>3</v>
      </c>
      <c r="F59" s="96">
        <f>Input!F34/100</f>
        <v>0.045</v>
      </c>
      <c r="G59" s="23"/>
      <c r="H59" s="23" t="s">
        <v>9</v>
      </c>
      <c r="I59" s="23"/>
      <c r="K59" s="25"/>
    </row>
    <row r="60" spans="5:11" ht="15.75">
      <c r="E60" s="61" t="s">
        <v>5</v>
      </c>
      <c r="F60" s="26">
        <f>ROUND(F57/F58*F59,2)</f>
        <v>0.47</v>
      </c>
      <c r="H60" s="18" t="s">
        <v>31</v>
      </c>
      <c r="I60" s="18"/>
      <c r="K60" s="21"/>
    </row>
    <row r="61" ht="15">
      <c r="E61" s="16"/>
    </row>
    <row r="62" spans="3:11" ht="20.25">
      <c r="C62" s="228" t="s">
        <v>33</v>
      </c>
      <c r="D62" s="228"/>
      <c r="E62" s="228"/>
      <c r="F62" s="228"/>
      <c r="G62" s="228"/>
      <c r="H62" s="228"/>
      <c r="I62" s="228"/>
      <c r="J62" s="228"/>
      <c r="K62" s="229"/>
    </row>
    <row r="63" spans="5:10" ht="15.75">
      <c r="E63" s="16"/>
      <c r="H63" s="61" t="s">
        <v>52</v>
      </c>
      <c r="I63" s="45" t="s">
        <v>54</v>
      </c>
      <c r="J63" s="45" t="s">
        <v>53</v>
      </c>
    </row>
    <row r="64" spans="4:10" ht="15.75">
      <c r="D64" s="9"/>
      <c r="E64" s="16"/>
      <c r="H64" s="50" t="s">
        <v>50</v>
      </c>
      <c r="I64" s="50" t="s">
        <v>66</v>
      </c>
      <c r="J64" s="67" t="s">
        <v>65</v>
      </c>
    </row>
    <row r="65" spans="4:11" ht="15.75">
      <c r="D65" s="54" t="str">
        <f>Input!B56</f>
        <v>Storage</v>
      </c>
      <c r="E65" s="16"/>
      <c r="H65" s="60">
        <f>Input!E56</f>
        <v>5000</v>
      </c>
      <c r="I65" s="87">
        <f>Input!F56</f>
        <v>1</v>
      </c>
      <c r="J65" s="51">
        <f>Input!G56</f>
        <v>5000</v>
      </c>
      <c r="K65" s="21"/>
    </row>
    <row r="66" spans="4:10" ht="15.75">
      <c r="D66" s="54"/>
      <c r="E66" s="16"/>
      <c r="H66" s="60"/>
      <c r="I66" s="87"/>
      <c r="J66" s="51"/>
    </row>
    <row r="67" spans="4:11" ht="15.75">
      <c r="D67" s="54" t="str">
        <f>Input!B58</f>
        <v>Total Capital Investment</v>
      </c>
      <c r="E67" s="16"/>
      <c r="H67" s="60">
        <f>Input!E58</f>
        <v>5000</v>
      </c>
      <c r="I67" s="87"/>
      <c r="J67" s="51">
        <f>Input!G58</f>
        <v>5000</v>
      </c>
      <c r="K67" s="21"/>
    </row>
    <row r="68" spans="4:11" ht="15.75">
      <c r="D68" s="54"/>
      <c r="E68" s="16"/>
      <c r="H68" s="60"/>
      <c r="I68" s="87"/>
      <c r="J68" s="51"/>
      <c r="K68" s="55"/>
    </row>
    <row r="69" ht="15">
      <c r="E69" s="16"/>
    </row>
    <row r="70" spans="2:5" ht="15.75">
      <c r="B70" s="9" t="s">
        <v>16</v>
      </c>
      <c r="E70" s="16"/>
    </row>
    <row r="71" spans="3:5" ht="15.75">
      <c r="C71" s="9" t="s">
        <v>55</v>
      </c>
      <c r="E71" s="16"/>
    </row>
    <row r="72" spans="3:11" ht="15.75">
      <c r="C72" s="9" t="s">
        <v>89</v>
      </c>
      <c r="E72" s="16"/>
      <c r="F72" s="51">
        <f>Input!E56</f>
        <v>5000</v>
      </c>
      <c r="H72" s="6" t="s">
        <v>12</v>
      </c>
      <c r="K72" s="21"/>
    </row>
    <row r="73" spans="5:11" ht="15">
      <c r="E73" s="62" t="s">
        <v>13</v>
      </c>
      <c r="F73" s="51">
        <f>Input!G52*F72</f>
        <v>0</v>
      </c>
      <c r="H73" s="6" t="s">
        <v>11</v>
      </c>
      <c r="K73" s="21"/>
    </row>
    <row r="74" spans="5:11" ht="15">
      <c r="E74" s="62" t="s">
        <v>4</v>
      </c>
      <c r="F74" s="24">
        <f>Input!F52</f>
        <v>3</v>
      </c>
      <c r="H74" s="6" t="s">
        <v>35</v>
      </c>
      <c r="K74" s="25"/>
    </row>
    <row r="75" spans="5:11" ht="15">
      <c r="E75" s="79" t="s">
        <v>4</v>
      </c>
      <c r="F75" s="22">
        <f>Input!F6</f>
        <v>600</v>
      </c>
      <c r="G75" s="23"/>
      <c r="H75" s="23" t="s">
        <v>25</v>
      </c>
      <c r="I75" s="23"/>
      <c r="K75" s="25"/>
    </row>
    <row r="76" spans="5:11" ht="15.75">
      <c r="E76" s="61" t="s">
        <v>5</v>
      </c>
      <c r="F76" s="26">
        <f>ROUND(((F72-F73)/F74)/F75,2)</f>
        <v>2.78</v>
      </c>
      <c r="H76" s="18" t="s">
        <v>31</v>
      </c>
      <c r="I76" s="18"/>
      <c r="K76" s="21"/>
    </row>
    <row r="77" ht="15">
      <c r="E77" s="16"/>
    </row>
    <row r="78" spans="3:5" ht="15.75">
      <c r="C78" s="9" t="s">
        <v>56</v>
      </c>
      <c r="E78" s="16"/>
    </row>
    <row r="79" spans="3:5" ht="15.75">
      <c r="C79" s="9" t="s">
        <v>90</v>
      </c>
      <c r="E79" s="16"/>
    </row>
    <row r="80" spans="5:11" ht="15">
      <c r="E80" s="16"/>
      <c r="F80" s="51">
        <f>Input!E56</f>
        <v>5000</v>
      </c>
      <c r="H80" s="6" t="s">
        <v>12</v>
      </c>
      <c r="K80" s="21"/>
    </row>
    <row r="81" spans="5:11" ht="15">
      <c r="E81" s="62" t="s">
        <v>6</v>
      </c>
      <c r="F81" s="51">
        <f>Input!G52*F80</f>
        <v>0</v>
      </c>
      <c r="H81" s="6" t="s">
        <v>11</v>
      </c>
      <c r="K81" s="21"/>
    </row>
    <row r="82" spans="5:11" ht="15">
      <c r="E82" s="62" t="s">
        <v>4</v>
      </c>
      <c r="F82" s="24">
        <v>2</v>
      </c>
      <c r="H82" s="6" t="s">
        <v>8</v>
      </c>
      <c r="K82" s="21"/>
    </row>
    <row r="83" spans="5:11" ht="15">
      <c r="E83" s="62" t="s">
        <v>4</v>
      </c>
      <c r="F83" s="24">
        <f>Input!F6</f>
        <v>600</v>
      </c>
      <c r="H83" s="6" t="s">
        <v>25</v>
      </c>
      <c r="K83" s="21"/>
    </row>
    <row r="84" spans="5:11" ht="15">
      <c r="E84" s="79" t="s">
        <v>3</v>
      </c>
      <c r="F84" s="96">
        <v>0.04</v>
      </c>
      <c r="G84" s="23"/>
      <c r="H84" s="23" t="s">
        <v>10</v>
      </c>
      <c r="I84" s="23"/>
      <c r="K84" s="25"/>
    </row>
    <row r="85" spans="5:11" ht="15.75">
      <c r="E85" s="61" t="s">
        <v>5</v>
      </c>
      <c r="F85" s="26">
        <f>ROUND((((F80+F81)/F82)/F83)*F84,2)</f>
        <v>0.17</v>
      </c>
      <c r="H85" s="18" t="s">
        <v>31</v>
      </c>
      <c r="I85" s="18"/>
      <c r="K85" s="21"/>
    </row>
    <row r="86" spans="5:11" ht="15.75">
      <c r="E86" s="61"/>
      <c r="F86" s="26"/>
      <c r="H86" s="18"/>
      <c r="I86" s="18"/>
      <c r="K86" s="55"/>
    </row>
    <row r="87" spans="2:5" ht="15.75">
      <c r="B87" s="9" t="s">
        <v>102</v>
      </c>
      <c r="E87" s="16"/>
    </row>
    <row r="88" spans="3:11" ht="15.75">
      <c r="C88" s="9" t="s">
        <v>145</v>
      </c>
      <c r="E88" s="16"/>
      <c r="F88" s="24">
        <f>Input!F40</f>
        <v>8587</v>
      </c>
      <c r="H88" s="6" t="s">
        <v>103</v>
      </c>
      <c r="K88" s="21"/>
    </row>
    <row r="89" spans="5:11" ht="15">
      <c r="E89" s="79" t="s">
        <v>3</v>
      </c>
      <c r="F89" s="73">
        <f>SUM(1-(Input!F19/100))</f>
        <v>0.87</v>
      </c>
      <c r="H89" s="23" t="s">
        <v>104</v>
      </c>
      <c r="K89" s="21"/>
    </row>
    <row r="90" spans="5:11" ht="15">
      <c r="E90" s="62" t="s">
        <v>5</v>
      </c>
      <c r="F90" s="134">
        <f>SUM(F88*F89)</f>
        <v>7470.69</v>
      </c>
      <c r="H90" s="6" t="s">
        <v>105</v>
      </c>
      <c r="K90" s="25"/>
    </row>
    <row r="91" spans="5:11" ht="15">
      <c r="E91" s="79" t="s">
        <v>3</v>
      </c>
      <c r="F91" s="22">
        <v>2000</v>
      </c>
      <c r="G91" s="23"/>
      <c r="H91" s="23" t="s">
        <v>106</v>
      </c>
      <c r="I91" s="23"/>
      <c r="K91" s="25"/>
    </row>
    <row r="92" spans="5:11" ht="15.75">
      <c r="E92" s="62" t="s">
        <v>5</v>
      </c>
      <c r="F92" s="24">
        <f>SUM(F90*F91)</f>
        <v>14941380</v>
      </c>
      <c r="H92" s="16" t="s">
        <v>109</v>
      </c>
      <c r="I92" s="18"/>
      <c r="K92" s="21"/>
    </row>
    <row r="93" spans="5:11" ht="15.75">
      <c r="E93" s="79" t="s">
        <v>3</v>
      </c>
      <c r="F93" s="136">
        <f>Input!H40</f>
        <v>0.65</v>
      </c>
      <c r="G93" s="23"/>
      <c r="H93" s="19" t="s">
        <v>108</v>
      </c>
      <c r="I93" s="18"/>
      <c r="K93" s="21"/>
    </row>
    <row r="94" spans="5:11" ht="15.75">
      <c r="E94" s="61" t="s">
        <v>5</v>
      </c>
      <c r="F94" s="135">
        <f>SUM(F92*F93)</f>
        <v>9711897</v>
      </c>
      <c r="G94" s="9"/>
      <c r="H94" s="18" t="s">
        <v>110</v>
      </c>
      <c r="I94" s="18"/>
      <c r="K94" s="21"/>
    </row>
    <row r="95" spans="5:11" ht="15.75">
      <c r="E95" s="61"/>
      <c r="F95" s="26"/>
      <c r="H95" s="18"/>
      <c r="I95" s="18"/>
      <c r="K95" s="55"/>
    </row>
    <row r="96" spans="5:11" ht="15.75">
      <c r="E96" s="61"/>
      <c r="F96" s="8">
        <f>Input!D40</f>
        <v>37.39058823529411</v>
      </c>
      <c r="H96" s="16" t="s">
        <v>117</v>
      </c>
      <c r="I96" s="18"/>
      <c r="K96" s="21"/>
    </row>
    <row r="97" spans="5:11" ht="15.75">
      <c r="E97" s="79" t="s">
        <v>3</v>
      </c>
      <c r="F97" s="136">
        <f>Input!F9</f>
        <v>0.15</v>
      </c>
      <c r="H97" s="19" t="s">
        <v>116</v>
      </c>
      <c r="I97" s="18"/>
      <c r="K97" s="21"/>
    </row>
    <row r="98" spans="5:11" ht="15.75">
      <c r="E98" s="62" t="s">
        <v>5</v>
      </c>
      <c r="F98" s="8">
        <f>SUM(F96*(1+F97))</f>
        <v>42.999176470588225</v>
      </c>
      <c r="H98" s="16" t="s">
        <v>111</v>
      </c>
      <c r="I98" s="18"/>
      <c r="K98" s="21"/>
    </row>
    <row r="99" spans="5:11" ht="15.75">
      <c r="E99" s="79" t="s">
        <v>4</v>
      </c>
      <c r="F99" s="137">
        <f>F94/1000000</f>
        <v>9.711897</v>
      </c>
      <c r="G99" s="23"/>
      <c r="H99" s="19" t="s">
        <v>107</v>
      </c>
      <c r="I99" s="18"/>
      <c r="K99" s="21"/>
    </row>
    <row r="100" spans="5:11" ht="15.75">
      <c r="E100" s="61" t="s">
        <v>5</v>
      </c>
      <c r="F100" s="26">
        <f>SUM(F98/F99)</f>
        <v>4.4274745161103155</v>
      </c>
      <c r="G100" s="9"/>
      <c r="H100" s="18" t="s">
        <v>112</v>
      </c>
      <c r="I100" s="18"/>
      <c r="K100" s="21"/>
    </row>
    <row r="101" spans="5:11" ht="15.75">
      <c r="E101" s="61"/>
      <c r="F101" s="26"/>
      <c r="H101" s="18"/>
      <c r="I101" s="18"/>
      <c r="K101" s="55"/>
    </row>
    <row r="102" spans="5:11" ht="15.75">
      <c r="E102" s="61"/>
      <c r="F102" s="24">
        <f>F94</f>
        <v>9711897</v>
      </c>
      <c r="H102" s="16" t="s">
        <v>110</v>
      </c>
      <c r="I102" s="18"/>
      <c r="K102" s="21"/>
    </row>
    <row r="103" spans="5:11" ht="15.75">
      <c r="E103" s="79" t="s">
        <v>4</v>
      </c>
      <c r="F103" s="22">
        <f>Input!F41</f>
        <v>3413</v>
      </c>
      <c r="G103" s="23"/>
      <c r="H103" s="19" t="s">
        <v>113</v>
      </c>
      <c r="I103" s="18"/>
      <c r="K103" s="21"/>
    </row>
    <row r="104" spans="5:11" ht="15.75">
      <c r="E104" s="62" t="s">
        <v>5</v>
      </c>
      <c r="F104" s="134">
        <f>SUM(F102/F103)</f>
        <v>2845.5602109581014</v>
      </c>
      <c r="H104" s="16" t="s">
        <v>114</v>
      </c>
      <c r="I104" s="18"/>
      <c r="K104" s="21"/>
    </row>
    <row r="105" spans="5:11" ht="15.75">
      <c r="E105" s="61"/>
      <c r="F105" s="26"/>
      <c r="H105" s="18"/>
      <c r="I105" s="18"/>
      <c r="K105" s="55"/>
    </row>
    <row r="106" spans="5:11" ht="15.75">
      <c r="E106" s="61"/>
      <c r="F106" s="8">
        <f>F98</f>
        <v>42.999176470588225</v>
      </c>
      <c r="H106" s="16" t="s">
        <v>111</v>
      </c>
      <c r="I106" s="18"/>
      <c r="K106" s="21"/>
    </row>
    <row r="107" spans="5:11" ht="15.75">
      <c r="E107" s="79" t="s">
        <v>4</v>
      </c>
      <c r="F107" s="138">
        <f>F104</f>
        <v>2845.5602109581014</v>
      </c>
      <c r="G107" s="23"/>
      <c r="H107" s="16" t="s">
        <v>114</v>
      </c>
      <c r="I107" s="18"/>
      <c r="K107" s="21"/>
    </row>
    <row r="108" spans="5:11" ht="15.75">
      <c r="E108" s="61" t="s">
        <v>5</v>
      </c>
      <c r="F108" s="139">
        <f>SUM(F106/F107)</f>
        <v>0.015110970523484507</v>
      </c>
      <c r="G108" s="9"/>
      <c r="H108" s="18" t="s">
        <v>115</v>
      </c>
      <c r="I108" s="18"/>
      <c r="K108" s="21"/>
    </row>
    <row r="109" spans="5:11" ht="15.75">
      <c r="E109" s="61"/>
      <c r="F109" s="139"/>
      <c r="G109" s="9"/>
      <c r="H109" s="18"/>
      <c r="I109" s="18"/>
      <c r="K109" s="55"/>
    </row>
    <row r="110" spans="3:11" ht="15.75">
      <c r="C110" s="9" t="s">
        <v>146</v>
      </c>
      <c r="E110" s="61"/>
      <c r="F110" s="139"/>
      <c r="G110" s="9"/>
      <c r="H110" s="18"/>
      <c r="I110" s="18"/>
      <c r="K110" s="55"/>
    </row>
    <row r="111" spans="5:11" ht="15">
      <c r="E111" s="16"/>
      <c r="F111" s="24">
        <f>Input!F40</f>
        <v>8587</v>
      </c>
      <c r="H111" s="6" t="s">
        <v>103</v>
      </c>
      <c r="K111" s="21"/>
    </row>
    <row r="112" spans="5:11" ht="15">
      <c r="E112" s="79" t="s">
        <v>3</v>
      </c>
      <c r="F112" s="73">
        <f>SUM(1-(Input!F19/100))</f>
        <v>0.87</v>
      </c>
      <c r="H112" s="23" t="s">
        <v>104</v>
      </c>
      <c r="K112" s="21"/>
    </row>
    <row r="113" spans="5:11" ht="15">
      <c r="E113" s="62" t="s">
        <v>5</v>
      </c>
      <c r="F113" s="134">
        <f>SUM(F111*F112)</f>
        <v>7470.69</v>
      </c>
      <c r="H113" s="6" t="s">
        <v>105</v>
      </c>
      <c r="K113" s="25"/>
    </row>
    <row r="114" spans="5:11" ht="15">
      <c r="E114" s="79" t="s">
        <v>3</v>
      </c>
      <c r="F114" s="22">
        <v>2000</v>
      </c>
      <c r="G114" s="23"/>
      <c r="H114" s="23" t="s">
        <v>106</v>
      </c>
      <c r="I114" s="23"/>
      <c r="K114" s="25"/>
    </row>
    <row r="115" spans="5:11" ht="15.75">
      <c r="E115" s="62" t="s">
        <v>5</v>
      </c>
      <c r="F115" s="24">
        <f>SUM(F113*F114)</f>
        <v>14941380</v>
      </c>
      <c r="H115" s="16" t="s">
        <v>109</v>
      </c>
      <c r="I115" s="18"/>
      <c r="K115" s="21"/>
    </row>
    <row r="116" spans="5:11" ht="15.75">
      <c r="E116" s="79" t="s">
        <v>3</v>
      </c>
      <c r="F116" s="136">
        <f>Input!H40</f>
        <v>0.65</v>
      </c>
      <c r="G116" s="23"/>
      <c r="H116" s="19" t="s">
        <v>108</v>
      </c>
      <c r="I116" s="18"/>
      <c r="K116" s="21"/>
    </row>
    <row r="117" spans="5:11" ht="15.75">
      <c r="E117" s="61" t="s">
        <v>5</v>
      </c>
      <c r="F117" s="135">
        <f>SUM(F115*F116)</f>
        <v>9711897</v>
      </c>
      <c r="G117" s="9"/>
      <c r="H117" s="18" t="s">
        <v>110</v>
      </c>
      <c r="I117" s="18"/>
      <c r="K117" s="21"/>
    </row>
    <row r="118" spans="5:11" ht="15.75">
      <c r="E118" s="61"/>
      <c r="F118" s="26"/>
      <c r="H118" s="18"/>
      <c r="I118" s="18"/>
      <c r="K118" s="55"/>
    </row>
    <row r="119" spans="5:11" ht="15.75">
      <c r="E119" s="61"/>
      <c r="F119" s="8">
        <f>Input!D40</f>
        <v>37.39058823529411</v>
      </c>
      <c r="H119" s="16" t="s">
        <v>117</v>
      </c>
      <c r="I119" s="18"/>
      <c r="K119" s="21"/>
    </row>
    <row r="120" spans="5:11" ht="15.75">
      <c r="E120" s="62" t="s">
        <v>3</v>
      </c>
      <c r="F120" s="166">
        <f>Input!F9</f>
        <v>0.15</v>
      </c>
      <c r="H120" s="16" t="s">
        <v>116</v>
      </c>
      <c r="I120" s="18"/>
      <c r="K120" s="21"/>
    </row>
    <row r="121" spans="5:11" ht="15.75">
      <c r="E121" s="62" t="s">
        <v>6</v>
      </c>
      <c r="F121" s="27">
        <f>Input!F29</f>
        <v>40</v>
      </c>
      <c r="H121" s="19" t="s">
        <v>147</v>
      </c>
      <c r="I121" s="18"/>
      <c r="K121" s="21"/>
    </row>
    <row r="122" spans="5:11" ht="15.75">
      <c r="E122" s="62" t="s">
        <v>5</v>
      </c>
      <c r="F122" s="8">
        <f>SUM(F119*(1+F120)+F121)</f>
        <v>82.99917647058822</v>
      </c>
      <c r="H122" s="16" t="s">
        <v>111</v>
      </c>
      <c r="I122" s="18"/>
      <c r="K122" s="21"/>
    </row>
    <row r="123" spans="5:11" ht="15.75">
      <c r="E123" s="79" t="s">
        <v>4</v>
      </c>
      <c r="F123" s="137">
        <f>F117/1000000</f>
        <v>9.711897</v>
      </c>
      <c r="G123" s="23"/>
      <c r="H123" s="19" t="s">
        <v>107</v>
      </c>
      <c r="I123" s="18"/>
      <c r="K123" s="21"/>
    </row>
    <row r="124" spans="5:11" ht="15.75">
      <c r="E124" s="61" t="s">
        <v>5</v>
      </c>
      <c r="F124" s="26">
        <f>SUM(F122/F123)</f>
        <v>8.546134341271147</v>
      </c>
      <c r="G124" s="9"/>
      <c r="H124" s="18" t="s">
        <v>112</v>
      </c>
      <c r="I124" s="18"/>
      <c r="K124" s="21"/>
    </row>
    <row r="125" spans="5:11" ht="15.75">
      <c r="E125" s="61"/>
      <c r="F125" s="26"/>
      <c r="H125" s="18"/>
      <c r="I125" s="18"/>
      <c r="K125" s="55"/>
    </row>
    <row r="126" spans="5:11" ht="15.75">
      <c r="E126" s="61"/>
      <c r="F126" s="24">
        <f>F117</f>
        <v>9711897</v>
      </c>
      <c r="H126" s="16" t="s">
        <v>110</v>
      </c>
      <c r="I126" s="18"/>
      <c r="K126" s="21"/>
    </row>
    <row r="127" spans="5:11" ht="15.75">
      <c r="E127" s="79" t="s">
        <v>4</v>
      </c>
      <c r="F127" s="22">
        <f>Input!F41</f>
        <v>3413</v>
      </c>
      <c r="G127" s="23"/>
      <c r="H127" s="19" t="s">
        <v>113</v>
      </c>
      <c r="I127" s="18"/>
      <c r="K127" s="21"/>
    </row>
    <row r="128" spans="5:11" ht="15.75">
      <c r="E128" s="62" t="s">
        <v>5</v>
      </c>
      <c r="F128" s="134">
        <f>SUM(F126/F127)</f>
        <v>2845.5602109581014</v>
      </c>
      <c r="H128" s="16" t="s">
        <v>114</v>
      </c>
      <c r="I128" s="18"/>
      <c r="K128" s="21"/>
    </row>
    <row r="129" spans="5:11" ht="15.75">
      <c r="E129" s="61"/>
      <c r="F129" s="26"/>
      <c r="H129" s="18"/>
      <c r="I129" s="18"/>
      <c r="K129" s="55"/>
    </row>
    <row r="130" spans="5:11" ht="15.75">
      <c r="E130" s="61"/>
      <c r="F130" s="8">
        <f>F122</f>
        <v>82.99917647058822</v>
      </c>
      <c r="H130" s="16" t="s">
        <v>111</v>
      </c>
      <c r="I130" s="18"/>
      <c r="K130" s="21"/>
    </row>
    <row r="131" spans="5:11" ht="15.75">
      <c r="E131" s="79" t="s">
        <v>4</v>
      </c>
      <c r="F131" s="138">
        <f>F128</f>
        <v>2845.5602109581014</v>
      </c>
      <c r="G131" s="23"/>
      <c r="H131" s="16" t="s">
        <v>114</v>
      </c>
      <c r="I131" s="18"/>
      <c r="K131" s="21"/>
    </row>
    <row r="132" spans="5:11" ht="15.75">
      <c r="E132" s="61" t="s">
        <v>5</v>
      </c>
      <c r="F132" s="139">
        <f>SUM(F130/F131)</f>
        <v>0.029167956506758422</v>
      </c>
      <c r="G132" s="9"/>
      <c r="H132" s="18" t="s">
        <v>115</v>
      </c>
      <c r="I132" s="18"/>
      <c r="K132" s="21"/>
    </row>
    <row r="133" spans="5:11" ht="15.75">
      <c r="E133" s="61"/>
      <c r="F133" s="26"/>
      <c r="H133" s="18"/>
      <c r="I133" s="18"/>
      <c r="K133" s="55"/>
    </row>
    <row r="134" spans="3:11" ht="15.75">
      <c r="C134" s="9" t="s">
        <v>129</v>
      </c>
      <c r="E134" s="16"/>
      <c r="F134" s="24">
        <f>Input!F42</f>
        <v>6900</v>
      </c>
      <c r="H134" s="6" t="s">
        <v>103</v>
      </c>
      <c r="K134" s="21"/>
    </row>
    <row r="135" spans="5:11" ht="15">
      <c r="E135" s="79" t="s">
        <v>3</v>
      </c>
      <c r="F135" s="73">
        <f>SUM(1-(Input!F30/100))</f>
        <v>0.88</v>
      </c>
      <c r="H135" s="23" t="s">
        <v>104</v>
      </c>
      <c r="K135" s="21"/>
    </row>
    <row r="136" spans="5:11" ht="15">
      <c r="E136" s="62" t="s">
        <v>5</v>
      </c>
      <c r="F136" s="134">
        <f>SUM(F134*F135)</f>
        <v>6072</v>
      </c>
      <c r="H136" s="6" t="s">
        <v>105</v>
      </c>
      <c r="K136" s="25"/>
    </row>
    <row r="137" spans="5:11" ht="15">
      <c r="E137" s="79" t="s">
        <v>3</v>
      </c>
      <c r="F137" s="22">
        <v>2000</v>
      </c>
      <c r="G137" s="23"/>
      <c r="H137" s="23" t="s">
        <v>106</v>
      </c>
      <c r="I137" s="23"/>
      <c r="K137" s="25"/>
    </row>
    <row r="138" spans="5:11" ht="15.75">
      <c r="E138" s="62" t="s">
        <v>5</v>
      </c>
      <c r="F138" s="24">
        <f>SUM(F136*F137)</f>
        <v>12144000</v>
      </c>
      <c r="H138" s="16" t="s">
        <v>109</v>
      </c>
      <c r="I138" s="18"/>
      <c r="K138" s="21"/>
    </row>
    <row r="139" spans="5:11" ht="15.75">
      <c r="E139" s="79" t="s">
        <v>3</v>
      </c>
      <c r="F139" s="136">
        <f>Input!H42</f>
        <v>0.65</v>
      </c>
      <c r="G139" s="23"/>
      <c r="H139" s="19" t="s">
        <v>108</v>
      </c>
      <c r="I139" s="18"/>
      <c r="K139" s="21"/>
    </row>
    <row r="140" spans="5:11" ht="15.75">
      <c r="E140" s="61" t="s">
        <v>5</v>
      </c>
      <c r="F140" s="135">
        <f>SUM(F138*F139)</f>
        <v>7893600</v>
      </c>
      <c r="G140" s="9"/>
      <c r="H140" s="18" t="s">
        <v>110</v>
      </c>
      <c r="I140" s="18"/>
      <c r="K140" s="21"/>
    </row>
    <row r="141" spans="5:11" ht="15.75">
      <c r="E141" s="61"/>
      <c r="F141" s="26"/>
      <c r="H141" s="18"/>
      <c r="I141" s="18"/>
      <c r="K141" s="55"/>
    </row>
    <row r="142" spans="5:11" ht="15.75">
      <c r="E142" s="61"/>
      <c r="F142" s="8">
        <f>Input!D42</f>
        <v>120</v>
      </c>
      <c r="H142" s="16" t="s">
        <v>111</v>
      </c>
      <c r="I142" s="18"/>
      <c r="K142" s="21"/>
    </row>
    <row r="143" spans="5:11" ht="15.75">
      <c r="E143" s="79" t="s">
        <v>4</v>
      </c>
      <c r="F143" s="137">
        <f>F140/1000000</f>
        <v>7.8936</v>
      </c>
      <c r="G143" s="23"/>
      <c r="H143" s="19" t="s">
        <v>107</v>
      </c>
      <c r="I143" s="18"/>
      <c r="K143" s="21"/>
    </row>
    <row r="144" spans="5:11" ht="15.75">
      <c r="E144" s="61" t="s">
        <v>5</v>
      </c>
      <c r="F144" s="26">
        <f>SUM(F142/F143)</f>
        <v>15.202189115232594</v>
      </c>
      <c r="G144" s="9"/>
      <c r="H144" s="18" t="s">
        <v>112</v>
      </c>
      <c r="I144" s="18"/>
      <c r="K144" s="21"/>
    </row>
    <row r="145" spans="5:11" ht="15.75">
      <c r="E145" s="61"/>
      <c r="F145" s="26"/>
      <c r="H145" s="18"/>
      <c r="I145" s="18"/>
      <c r="K145" s="55"/>
    </row>
    <row r="146" spans="5:11" ht="15.75">
      <c r="E146" s="61"/>
      <c r="F146" s="24">
        <f>F140</f>
        <v>7893600</v>
      </c>
      <c r="H146" s="16" t="s">
        <v>110</v>
      </c>
      <c r="I146" s="18"/>
      <c r="K146" s="21"/>
    </row>
    <row r="147" spans="5:11" ht="15.75">
      <c r="E147" s="79" t="s">
        <v>4</v>
      </c>
      <c r="F147" s="22">
        <f>Input!F41</f>
        <v>3413</v>
      </c>
      <c r="G147" s="23"/>
      <c r="H147" s="19" t="s">
        <v>113</v>
      </c>
      <c r="I147" s="18"/>
      <c r="K147" s="21"/>
    </row>
    <row r="148" spans="5:11" ht="15.75">
      <c r="E148" s="62" t="s">
        <v>5</v>
      </c>
      <c r="F148" s="134">
        <f>SUM(F146/F147)</f>
        <v>2312.803984764137</v>
      </c>
      <c r="H148" s="16" t="s">
        <v>114</v>
      </c>
      <c r="I148" s="18"/>
      <c r="K148" s="21"/>
    </row>
    <row r="149" spans="5:11" ht="15.75">
      <c r="E149" s="61"/>
      <c r="F149" s="26"/>
      <c r="H149" s="18"/>
      <c r="I149" s="18"/>
      <c r="K149" s="55"/>
    </row>
    <row r="150" spans="5:11" ht="15.75">
      <c r="E150" s="61"/>
      <c r="F150" s="8">
        <f>F142</f>
        <v>120</v>
      </c>
      <c r="H150" s="16" t="s">
        <v>111</v>
      </c>
      <c r="I150" s="18"/>
      <c r="K150" s="21"/>
    </row>
    <row r="151" spans="5:11" ht="15.75">
      <c r="E151" s="79" t="s">
        <v>4</v>
      </c>
      <c r="F151" s="138">
        <f>F148</f>
        <v>2312.803984764137</v>
      </c>
      <c r="G151" s="23"/>
      <c r="H151" s="16" t="s">
        <v>114</v>
      </c>
      <c r="I151" s="18"/>
      <c r="K151" s="21"/>
    </row>
    <row r="152" spans="5:11" ht="15.75">
      <c r="E152" s="61" t="s">
        <v>5</v>
      </c>
      <c r="F152" s="139">
        <f>SUM(F150/F151)</f>
        <v>0.05188507145028884</v>
      </c>
      <c r="G152" s="9"/>
      <c r="H152" s="18" t="s">
        <v>115</v>
      </c>
      <c r="I152" s="18"/>
      <c r="K152" s="21"/>
    </row>
    <row r="153" spans="5:11" ht="15.75">
      <c r="E153" s="61"/>
      <c r="F153" s="26"/>
      <c r="H153" s="18"/>
      <c r="I153" s="18"/>
      <c r="K153" s="55"/>
    </row>
    <row r="154" spans="3:11" ht="15.75">
      <c r="C154" s="9" t="s">
        <v>164</v>
      </c>
      <c r="E154" s="16"/>
      <c r="F154" s="24">
        <f>Input!F43</f>
        <v>8200</v>
      </c>
      <c r="H154" s="6" t="s">
        <v>103</v>
      </c>
      <c r="K154" s="21"/>
    </row>
    <row r="155" spans="3:11" ht="15.75">
      <c r="C155" s="9"/>
      <c r="E155" s="79" t="s">
        <v>3</v>
      </c>
      <c r="F155" s="73">
        <f>SUM(1-(Input!F31/100))</f>
        <v>0.95</v>
      </c>
      <c r="H155" s="23" t="s">
        <v>104</v>
      </c>
      <c r="K155" s="21"/>
    </row>
    <row r="156" spans="5:11" ht="15">
      <c r="E156" s="62" t="s">
        <v>5</v>
      </c>
      <c r="F156" s="134">
        <f>SUM(F154*F155)</f>
        <v>7790</v>
      </c>
      <c r="H156" s="6" t="s">
        <v>105</v>
      </c>
      <c r="K156" s="25"/>
    </row>
    <row r="157" spans="5:11" ht="15">
      <c r="E157" s="79" t="s">
        <v>3</v>
      </c>
      <c r="F157" s="22">
        <v>2000</v>
      </c>
      <c r="G157" s="23"/>
      <c r="H157" s="23" t="s">
        <v>106</v>
      </c>
      <c r="I157" s="23"/>
      <c r="K157" s="25"/>
    </row>
    <row r="158" spans="5:11" ht="15.75">
      <c r="E158" s="62" t="s">
        <v>5</v>
      </c>
      <c r="F158" s="24">
        <f>SUM(F156*F157)</f>
        <v>15580000</v>
      </c>
      <c r="H158" s="16" t="s">
        <v>109</v>
      </c>
      <c r="I158" s="18"/>
      <c r="K158" s="21"/>
    </row>
    <row r="159" spans="5:11" ht="15.75">
      <c r="E159" s="79" t="s">
        <v>3</v>
      </c>
      <c r="F159" s="136">
        <f>Input!H43</f>
        <v>0.65</v>
      </c>
      <c r="G159" s="23"/>
      <c r="H159" s="19" t="s">
        <v>108</v>
      </c>
      <c r="I159" s="18"/>
      <c r="K159" s="21"/>
    </row>
    <row r="160" spans="5:11" ht="15.75">
      <c r="E160" s="61" t="s">
        <v>5</v>
      </c>
      <c r="F160" s="135">
        <f>SUM(F158*F159)</f>
        <v>10127000</v>
      </c>
      <c r="G160" s="9"/>
      <c r="H160" s="18" t="s">
        <v>110</v>
      </c>
      <c r="I160" s="18"/>
      <c r="K160" s="21"/>
    </row>
    <row r="161" spans="5:11" ht="15.75">
      <c r="E161" s="61"/>
      <c r="F161" s="26"/>
      <c r="H161" s="18"/>
      <c r="I161" s="18"/>
      <c r="K161" s="55"/>
    </row>
    <row r="162" spans="5:11" ht="15.75">
      <c r="E162" s="61"/>
      <c r="F162" s="8">
        <f>Input!D43</f>
        <v>250</v>
      </c>
      <c r="H162" s="16" t="s">
        <v>111</v>
      </c>
      <c r="I162" s="18"/>
      <c r="K162" s="21"/>
    </row>
    <row r="163" spans="5:11" ht="15.75">
      <c r="E163" s="79" t="s">
        <v>4</v>
      </c>
      <c r="F163" s="137">
        <f>F160/1000000</f>
        <v>10.127</v>
      </c>
      <c r="G163" s="23"/>
      <c r="H163" s="19" t="s">
        <v>107</v>
      </c>
      <c r="I163" s="18"/>
      <c r="K163" s="21"/>
    </row>
    <row r="164" spans="5:11" ht="15.75">
      <c r="E164" s="61" t="s">
        <v>5</v>
      </c>
      <c r="F164" s="26">
        <f>SUM(F162/F163)</f>
        <v>24.68648168263059</v>
      </c>
      <c r="G164" s="9"/>
      <c r="H164" s="18" t="s">
        <v>112</v>
      </c>
      <c r="I164" s="18"/>
      <c r="K164" s="21"/>
    </row>
    <row r="165" spans="5:11" ht="15.75">
      <c r="E165" s="61"/>
      <c r="F165" s="26"/>
      <c r="H165" s="18"/>
      <c r="I165" s="18"/>
      <c r="K165" s="55"/>
    </row>
    <row r="166" spans="5:11" ht="15.75">
      <c r="E166" s="61"/>
      <c r="F166" s="24">
        <f>F160</f>
        <v>10127000</v>
      </c>
      <c r="H166" s="16" t="s">
        <v>110</v>
      </c>
      <c r="I166" s="18"/>
      <c r="K166" s="21"/>
    </row>
    <row r="167" spans="5:11" ht="15.75">
      <c r="E167" s="79" t="s">
        <v>4</v>
      </c>
      <c r="F167" s="22">
        <f>Input!F41</f>
        <v>3413</v>
      </c>
      <c r="G167" s="23"/>
      <c r="H167" s="19" t="s">
        <v>113</v>
      </c>
      <c r="I167" s="18"/>
      <c r="K167" s="21"/>
    </row>
    <row r="168" spans="5:11" ht="15.75">
      <c r="E168" s="62" t="s">
        <v>5</v>
      </c>
      <c r="F168" s="134">
        <f>SUM(F166/F167)</f>
        <v>2967.184295341342</v>
      </c>
      <c r="H168" s="16" t="s">
        <v>114</v>
      </c>
      <c r="I168" s="18"/>
      <c r="K168" s="21"/>
    </row>
    <row r="169" spans="5:11" ht="15.75">
      <c r="E169" s="61"/>
      <c r="F169" s="26"/>
      <c r="H169" s="18"/>
      <c r="I169" s="18"/>
      <c r="K169" s="55"/>
    </row>
    <row r="170" spans="5:11" ht="15.75">
      <c r="E170" s="61"/>
      <c r="F170" s="8">
        <f>F162</f>
        <v>250</v>
      </c>
      <c r="H170" s="16" t="s">
        <v>111</v>
      </c>
      <c r="I170" s="18"/>
      <c r="K170" s="21"/>
    </row>
    <row r="171" spans="5:11" ht="15.75">
      <c r="E171" s="79" t="s">
        <v>4</v>
      </c>
      <c r="F171" s="138">
        <f>F168</f>
        <v>2967.184295341342</v>
      </c>
      <c r="G171" s="23"/>
      <c r="H171" s="16" t="s">
        <v>114</v>
      </c>
      <c r="I171" s="18"/>
      <c r="K171" s="21"/>
    </row>
    <row r="172" spans="5:11" ht="15.75">
      <c r="E172" s="61" t="s">
        <v>5</v>
      </c>
      <c r="F172" s="139">
        <f>SUM(F170/F171)</f>
        <v>0.0842549619828182</v>
      </c>
      <c r="G172" s="9"/>
      <c r="H172" s="18" t="s">
        <v>115</v>
      </c>
      <c r="I172" s="18"/>
      <c r="K172" s="21"/>
    </row>
    <row r="173" spans="5:11" ht="15.75">
      <c r="E173" s="61"/>
      <c r="F173" s="139"/>
      <c r="G173" s="9"/>
      <c r="H173" s="18"/>
      <c r="I173" s="18"/>
      <c r="K173" s="55"/>
    </row>
    <row r="174" spans="3:11" ht="15.75">
      <c r="C174" s="9" t="s">
        <v>167</v>
      </c>
      <c r="E174" s="16"/>
      <c r="F174" s="24">
        <f>Input!F44</f>
        <v>8242</v>
      </c>
      <c r="H174" s="6" t="s">
        <v>103</v>
      </c>
      <c r="K174" s="21"/>
    </row>
    <row r="175" spans="3:11" ht="15.75">
      <c r="C175" s="9"/>
      <c r="E175" s="79" t="s">
        <v>3</v>
      </c>
      <c r="F175" s="173">
        <f>SUM(1-(Input!F32/100))</f>
        <v>0.875</v>
      </c>
      <c r="H175" s="23" t="s">
        <v>104</v>
      </c>
      <c r="K175" s="21"/>
    </row>
    <row r="176" spans="5:11" ht="15">
      <c r="E176" s="62" t="s">
        <v>5</v>
      </c>
      <c r="F176" s="134">
        <f>SUM(F174*F175)</f>
        <v>7211.75</v>
      </c>
      <c r="H176" s="6" t="s">
        <v>105</v>
      </c>
      <c r="K176" s="25"/>
    </row>
    <row r="177" spans="5:11" ht="15">
      <c r="E177" s="79" t="s">
        <v>3</v>
      </c>
      <c r="F177" s="22">
        <v>2000</v>
      </c>
      <c r="G177" s="23"/>
      <c r="H177" s="23" t="s">
        <v>106</v>
      </c>
      <c r="I177" s="23"/>
      <c r="K177" s="25"/>
    </row>
    <row r="178" spans="5:11" ht="15.75">
      <c r="E178" s="62" t="s">
        <v>5</v>
      </c>
      <c r="F178" s="24">
        <f>SUM(F176*F177)</f>
        <v>14423500</v>
      </c>
      <c r="H178" s="16" t="s">
        <v>109</v>
      </c>
      <c r="I178" s="18"/>
      <c r="K178" s="21"/>
    </row>
    <row r="179" spans="5:11" ht="15.75">
      <c r="E179" s="79" t="s">
        <v>3</v>
      </c>
      <c r="F179" s="136">
        <f>Input!H44</f>
        <v>0.65</v>
      </c>
      <c r="G179" s="23"/>
      <c r="H179" s="19" t="s">
        <v>108</v>
      </c>
      <c r="I179" s="18"/>
      <c r="K179" s="21"/>
    </row>
    <row r="180" spans="5:11" ht="15.75">
      <c r="E180" s="61" t="s">
        <v>5</v>
      </c>
      <c r="F180" s="135">
        <f>SUM(F178*F179)</f>
        <v>9375275</v>
      </c>
      <c r="G180" s="9"/>
      <c r="H180" s="18" t="s">
        <v>110</v>
      </c>
      <c r="I180" s="18"/>
      <c r="K180" s="21"/>
    </row>
    <row r="181" spans="5:11" ht="15.75">
      <c r="E181" s="61"/>
      <c r="F181" s="26"/>
      <c r="H181" s="18"/>
      <c r="I181" s="18"/>
      <c r="K181" s="55"/>
    </row>
    <row r="182" spans="5:11" ht="15.75">
      <c r="E182" s="61"/>
      <c r="F182" s="8">
        <f>SUM((2000/34)*Input!D44)</f>
        <v>191.17647058823528</v>
      </c>
      <c r="H182" s="16" t="s">
        <v>111</v>
      </c>
      <c r="I182" s="18"/>
      <c r="K182" s="21"/>
    </row>
    <row r="183" spans="5:11" ht="15.75">
      <c r="E183" s="79" t="s">
        <v>4</v>
      </c>
      <c r="F183" s="137">
        <f>F180/1000000</f>
        <v>9.375275</v>
      </c>
      <c r="G183" s="23"/>
      <c r="H183" s="19" t="s">
        <v>107</v>
      </c>
      <c r="I183" s="18"/>
      <c r="K183" s="21"/>
    </row>
    <row r="184" spans="5:11" ht="15.75">
      <c r="E184" s="61" t="s">
        <v>5</v>
      </c>
      <c r="F184" s="26">
        <f>SUM(F182/F183)</f>
        <v>20.391558710356257</v>
      </c>
      <c r="G184" s="9"/>
      <c r="H184" s="18" t="s">
        <v>112</v>
      </c>
      <c r="I184" s="18"/>
      <c r="K184" s="21"/>
    </row>
    <row r="185" spans="5:11" ht="15.75">
      <c r="E185" s="61"/>
      <c r="F185" s="26"/>
      <c r="H185" s="18"/>
      <c r="I185" s="18"/>
      <c r="K185" s="55"/>
    </row>
    <row r="186" spans="5:11" ht="15.75">
      <c r="E186" s="61"/>
      <c r="F186" s="24">
        <f>F180</f>
        <v>9375275</v>
      </c>
      <c r="H186" s="16" t="s">
        <v>110</v>
      </c>
      <c r="I186" s="18"/>
      <c r="K186" s="21"/>
    </row>
    <row r="187" spans="5:11" ht="15.75">
      <c r="E187" s="79" t="s">
        <v>4</v>
      </c>
      <c r="F187" s="22">
        <f>Input!F41</f>
        <v>3413</v>
      </c>
      <c r="G187" s="23"/>
      <c r="H187" s="19" t="s">
        <v>113</v>
      </c>
      <c r="I187" s="18"/>
      <c r="K187" s="21"/>
    </row>
    <row r="188" spans="5:11" ht="15.75">
      <c r="E188" s="62" t="s">
        <v>5</v>
      </c>
      <c r="F188" s="134">
        <f>SUM(F186/F187)</f>
        <v>2746.9308526223263</v>
      </c>
      <c r="H188" s="16" t="s">
        <v>114</v>
      </c>
      <c r="I188" s="18"/>
      <c r="K188" s="21"/>
    </row>
    <row r="189" spans="5:11" ht="15.75">
      <c r="E189" s="61"/>
      <c r="F189" s="26"/>
      <c r="H189" s="18"/>
      <c r="I189" s="18"/>
      <c r="K189" s="55"/>
    </row>
    <row r="190" spans="5:11" ht="15.75">
      <c r="E190" s="61"/>
      <c r="F190" s="8">
        <f>F182</f>
        <v>191.17647058823528</v>
      </c>
      <c r="H190" s="16" t="s">
        <v>111</v>
      </c>
      <c r="I190" s="18"/>
      <c r="K190" s="21"/>
    </row>
    <row r="191" spans="5:11" ht="15.75">
      <c r="E191" s="79" t="s">
        <v>4</v>
      </c>
      <c r="F191" s="138">
        <f>F188</f>
        <v>2746.9308526223263</v>
      </c>
      <c r="G191" s="23"/>
      <c r="H191" s="16" t="s">
        <v>114</v>
      </c>
      <c r="I191" s="18"/>
      <c r="K191" s="21"/>
    </row>
    <row r="192" spans="5:11" ht="15.75">
      <c r="E192" s="61" t="s">
        <v>5</v>
      </c>
      <c r="F192" s="139">
        <f>SUM(F190/F191)</f>
        <v>0.06959638987844592</v>
      </c>
      <c r="G192" s="9"/>
      <c r="H192" s="18" t="s">
        <v>115</v>
      </c>
      <c r="I192" s="18"/>
      <c r="K192" s="21"/>
    </row>
    <row r="193" spans="5:11" ht="15.75">
      <c r="E193" s="61"/>
      <c r="F193" s="139"/>
      <c r="G193" s="9"/>
      <c r="H193" s="18"/>
      <c r="I193" s="18"/>
      <c r="K193" s="55"/>
    </row>
    <row r="194" spans="5:11" ht="15.75">
      <c r="E194" s="61"/>
      <c r="F194" s="26"/>
      <c r="H194" s="18"/>
      <c r="I194" s="18"/>
      <c r="K194" s="55"/>
    </row>
    <row r="195" spans="3:11" ht="15.75">
      <c r="C195" s="9" t="s">
        <v>169</v>
      </c>
      <c r="E195" s="16"/>
      <c r="F195" s="148">
        <f>Input!D41</f>
        <v>0.08861</v>
      </c>
      <c r="H195" s="6" t="s">
        <v>115</v>
      </c>
      <c r="K195" s="21"/>
    </row>
    <row r="196" spans="5:11" ht="15">
      <c r="E196" s="62" t="s">
        <v>3</v>
      </c>
      <c r="F196" s="72">
        <v>1</v>
      </c>
      <c r="H196" s="6" t="s">
        <v>120</v>
      </c>
      <c r="K196" s="21"/>
    </row>
    <row r="197" spans="5:11" ht="15">
      <c r="E197" s="79" t="s">
        <v>4</v>
      </c>
      <c r="F197" s="22">
        <f>Input!F41</f>
        <v>3413</v>
      </c>
      <c r="G197" s="23"/>
      <c r="H197" s="23" t="s">
        <v>113</v>
      </c>
      <c r="K197" s="25"/>
    </row>
    <row r="198" spans="5:11" ht="15.75">
      <c r="E198" s="61" t="s">
        <v>5</v>
      </c>
      <c r="F198" s="26">
        <f>SUM(F195*F196*1000000/F197)</f>
        <v>25.96249633753296</v>
      </c>
      <c r="G198" s="9"/>
      <c r="H198" s="18" t="s">
        <v>112</v>
      </c>
      <c r="I198" s="18"/>
      <c r="K198" s="21"/>
    </row>
    <row r="199" spans="5:11" ht="15.75">
      <c r="E199" s="61"/>
      <c r="F199" s="26"/>
      <c r="G199" s="9"/>
      <c r="H199" s="18"/>
      <c r="I199" s="18"/>
      <c r="K199" s="55"/>
    </row>
    <row r="200" spans="3:11" ht="15.75">
      <c r="C200" s="9" t="s">
        <v>159</v>
      </c>
      <c r="E200" s="62"/>
      <c r="F200" s="24">
        <f>Input!F45</f>
        <v>32843.6</v>
      </c>
      <c r="H200" s="16" t="s">
        <v>125</v>
      </c>
      <c r="I200" s="18"/>
      <c r="K200" s="21"/>
    </row>
    <row r="201" spans="3:11" ht="15.75">
      <c r="C201" s="9" t="s">
        <v>158</v>
      </c>
      <c r="E201" s="79" t="s">
        <v>3</v>
      </c>
      <c r="F201" s="136">
        <f>Input!H45</f>
        <v>0.92</v>
      </c>
      <c r="G201" s="23"/>
      <c r="H201" s="19" t="s">
        <v>108</v>
      </c>
      <c r="I201" s="18"/>
      <c r="K201" s="21"/>
    </row>
    <row r="202" spans="5:11" ht="15.75">
      <c r="E202" s="61" t="s">
        <v>5</v>
      </c>
      <c r="F202" s="135">
        <f>SUM(F200*F201)</f>
        <v>30216.112</v>
      </c>
      <c r="G202" s="9"/>
      <c r="H202" s="18" t="s">
        <v>126</v>
      </c>
      <c r="I202" s="18"/>
      <c r="K202" s="21"/>
    </row>
    <row r="203" spans="5:11" ht="15.75">
      <c r="E203" s="61"/>
      <c r="F203" s="26"/>
      <c r="H203" s="18"/>
      <c r="I203" s="18"/>
      <c r="K203" s="55"/>
    </row>
    <row r="204" spans="5:11" ht="15.75">
      <c r="E204" s="61"/>
      <c r="F204" s="153">
        <f>Input!D45</f>
        <v>0.49</v>
      </c>
      <c r="H204" s="16" t="s">
        <v>127</v>
      </c>
      <c r="I204" s="18"/>
      <c r="K204" s="21"/>
    </row>
    <row r="205" spans="5:11" ht="15.75">
      <c r="E205" s="154" t="s">
        <v>3</v>
      </c>
      <c r="F205" s="155">
        <v>1</v>
      </c>
      <c r="H205" s="156" t="s">
        <v>120</v>
      </c>
      <c r="I205" s="18"/>
      <c r="K205" s="21"/>
    </row>
    <row r="206" spans="5:11" ht="15.75">
      <c r="E206" s="157" t="s">
        <v>4</v>
      </c>
      <c r="F206" s="158">
        <f>F202</f>
        <v>30216.112</v>
      </c>
      <c r="G206" s="159"/>
      <c r="H206" s="159" t="s">
        <v>126</v>
      </c>
      <c r="I206" s="18"/>
      <c r="K206" s="21"/>
    </row>
    <row r="207" spans="5:11" ht="15.75">
      <c r="E207" s="61" t="s">
        <v>5</v>
      </c>
      <c r="F207" s="160">
        <f>SUM(F204*F205*1000000/F206)</f>
        <v>16.216513891661506</v>
      </c>
      <c r="G207" s="9"/>
      <c r="H207" s="18" t="s">
        <v>112</v>
      </c>
      <c r="I207" s="18"/>
      <c r="K207" s="21"/>
    </row>
    <row r="208" spans="5:11" ht="15.75">
      <c r="E208" s="61"/>
      <c r="F208" s="26"/>
      <c r="H208" s="18"/>
      <c r="I208" s="18"/>
      <c r="K208" s="55"/>
    </row>
    <row r="209" spans="5:11" ht="15.75">
      <c r="E209" s="61"/>
      <c r="F209" s="24">
        <f>F202</f>
        <v>30216.112</v>
      </c>
      <c r="H209" s="16" t="s">
        <v>126</v>
      </c>
      <c r="I209" s="18"/>
      <c r="K209" s="21"/>
    </row>
    <row r="210" spans="5:11" ht="15.75">
      <c r="E210" s="79" t="s">
        <v>4</v>
      </c>
      <c r="F210" s="22">
        <f>Input!F41</f>
        <v>3413</v>
      </c>
      <c r="G210" s="23"/>
      <c r="H210" s="19" t="s">
        <v>113</v>
      </c>
      <c r="I210" s="18"/>
      <c r="K210" s="21"/>
    </row>
    <row r="211" spans="5:11" ht="15.75">
      <c r="E211" s="62" t="s">
        <v>5</v>
      </c>
      <c r="F211" s="134">
        <f>SUM(F209/F210)</f>
        <v>8.85324113682977</v>
      </c>
      <c r="H211" s="16" t="s">
        <v>128</v>
      </c>
      <c r="I211" s="18"/>
      <c r="K211" s="21"/>
    </row>
    <row r="212" spans="5:11" ht="15.75">
      <c r="E212" s="61"/>
      <c r="F212" s="26"/>
      <c r="H212" s="18"/>
      <c r="I212" s="18"/>
      <c r="K212" s="55"/>
    </row>
    <row r="213" spans="5:11" ht="15.75">
      <c r="E213" s="61"/>
      <c r="F213" s="153">
        <f>F204</f>
        <v>0.49</v>
      </c>
      <c r="H213" s="16" t="s">
        <v>127</v>
      </c>
      <c r="I213" s="18"/>
      <c r="K213" s="21"/>
    </row>
    <row r="214" spans="5:11" ht="15.75">
      <c r="E214" s="79" t="s">
        <v>4</v>
      </c>
      <c r="F214" s="138">
        <f>F211</f>
        <v>8.85324113682977</v>
      </c>
      <c r="G214" s="23"/>
      <c r="H214" s="16" t="s">
        <v>128</v>
      </c>
      <c r="I214" s="18"/>
      <c r="K214" s="21"/>
    </row>
    <row r="215" spans="5:11" ht="15.75">
      <c r="E215" s="61" t="s">
        <v>5</v>
      </c>
      <c r="F215" s="139">
        <f>SUM(F213/F214)</f>
        <v>0.05534696191224072</v>
      </c>
      <c r="G215" s="9"/>
      <c r="H215" s="18" t="s">
        <v>115</v>
      </c>
      <c r="I215" s="18"/>
      <c r="K215" s="21"/>
    </row>
    <row r="216" spans="5:11" ht="15.75">
      <c r="E216" s="61"/>
      <c r="F216" s="139"/>
      <c r="G216" s="9"/>
      <c r="H216" s="18"/>
      <c r="I216" s="18"/>
      <c r="K216" s="55"/>
    </row>
    <row r="217" spans="3:11" ht="15.75">
      <c r="C217" s="9" t="s">
        <v>170</v>
      </c>
      <c r="E217" s="62"/>
      <c r="F217" s="24">
        <f>Input!F45</f>
        <v>32843.6</v>
      </c>
      <c r="H217" s="16" t="s">
        <v>125</v>
      </c>
      <c r="I217" s="18"/>
      <c r="K217" s="21"/>
    </row>
    <row r="218" spans="3:11" ht="15.75">
      <c r="C218" s="9" t="s">
        <v>160</v>
      </c>
      <c r="E218" s="79" t="s">
        <v>3</v>
      </c>
      <c r="F218" s="136">
        <f>Input!H46</f>
        <v>0.75</v>
      </c>
      <c r="G218" s="23"/>
      <c r="H218" s="19" t="s">
        <v>108</v>
      </c>
      <c r="I218" s="18"/>
      <c r="K218" s="21"/>
    </row>
    <row r="219" spans="5:11" ht="15.75">
      <c r="E219" s="61" t="s">
        <v>5</v>
      </c>
      <c r="F219" s="135">
        <f>SUM(F217*F218)</f>
        <v>24632.699999999997</v>
      </c>
      <c r="G219" s="9"/>
      <c r="H219" s="18" t="s">
        <v>126</v>
      </c>
      <c r="I219" s="18"/>
      <c r="K219" s="21"/>
    </row>
    <row r="220" spans="5:11" ht="15.75">
      <c r="E220" s="61"/>
      <c r="F220" s="26"/>
      <c r="H220" s="18"/>
      <c r="I220" s="18"/>
      <c r="K220" s="55"/>
    </row>
    <row r="221" spans="5:11" ht="15.75">
      <c r="E221" s="61"/>
      <c r="F221" s="153">
        <f>Input!D45</f>
        <v>0.49</v>
      </c>
      <c r="H221" s="16" t="s">
        <v>127</v>
      </c>
      <c r="I221" s="18"/>
      <c r="K221" s="21"/>
    </row>
    <row r="222" spans="5:11" ht="15.75">
      <c r="E222" s="154" t="s">
        <v>3</v>
      </c>
      <c r="F222" s="155">
        <v>1</v>
      </c>
      <c r="H222" s="156" t="s">
        <v>120</v>
      </c>
      <c r="I222" s="18"/>
      <c r="K222" s="21"/>
    </row>
    <row r="223" spans="5:11" ht="15.75">
      <c r="E223" s="157" t="s">
        <v>4</v>
      </c>
      <c r="F223" s="158">
        <f>F219</f>
        <v>24632.699999999997</v>
      </c>
      <c r="G223" s="159"/>
      <c r="H223" s="159" t="s">
        <v>126</v>
      </c>
      <c r="I223" s="18"/>
      <c r="K223" s="21"/>
    </row>
    <row r="224" spans="5:11" ht="15.75">
      <c r="E224" s="61" t="s">
        <v>5</v>
      </c>
      <c r="F224" s="160">
        <f>SUM(F221*F222*1000000/F223)</f>
        <v>19.892257040438118</v>
      </c>
      <c r="G224" s="9"/>
      <c r="H224" s="18" t="s">
        <v>112</v>
      </c>
      <c r="I224" s="18"/>
      <c r="K224" s="21"/>
    </row>
    <row r="225" spans="5:11" ht="15.75">
      <c r="E225" s="61"/>
      <c r="F225" s="26"/>
      <c r="H225" s="18"/>
      <c r="I225" s="18"/>
      <c r="K225" s="55"/>
    </row>
    <row r="226" spans="5:11" ht="15.75">
      <c r="E226" s="61"/>
      <c r="F226" s="24">
        <f>F219</f>
        <v>24632.699999999997</v>
      </c>
      <c r="H226" s="16" t="s">
        <v>126</v>
      </c>
      <c r="I226" s="18"/>
      <c r="K226" s="21"/>
    </row>
    <row r="227" spans="5:11" ht="15.75">
      <c r="E227" s="79" t="s">
        <v>4</v>
      </c>
      <c r="F227" s="22">
        <f>Input!F41</f>
        <v>3413</v>
      </c>
      <c r="G227" s="23"/>
      <c r="H227" s="19" t="s">
        <v>113</v>
      </c>
      <c r="I227" s="18"/>
      <c r="K227" s="21"/>
    </row>
    <row r="228" spans="5:11" ht="15.75">
      <c r="E228" s="62" t="s">
        <v>5</v>
      </c>
      <c r="F228" s="134">
        <f>SUM(F226/F227)</f>
        <v>7.217316144154702</v>
      </c>
      <c r="H228" s="16" t="s">
        <v>128</v>
      </c>
      <c r="I228" s="18"/>
      <c r="K228" s="21"/>
    </row>
    <row r="229" spans="5:11" ht="15.75">
      <c r="E229" s="61"/>
      <c r="F229" s="26"/>
      <c r="H229" s="18"/>
      <c r="I229" s="18"/>
      <c r="K229" s="55"/>
    </row>
    <row r="230" spans="5:11" ht="15.75">
      <c r="E230" s="61"/>
      <c r="F230" s="153">
        <f>F221</f>
        <v>0.49</v>
      </c>
      <c r="H230" s="16" t="s">
        <v>127</v>
      </c>
      <c r="I230" s="18"/>
      <c r="K230" s="21"/>
    </row>
    <row r="231" spans="5:11" ht="15.75">
      <c r="E231" s="79" t="s">
        <v>4</v>
      </c>
      <c r="F231" s="138">
        <f>F228</f>
        <v>7.217316144154702</v>
      </c>
      <c r="G231" s="23"/>
      <c r="H231" s="16" t="s">
        <v>128</v>
      </c>
      <c r="I231" s="18"/>
      <c r="K231" s="21"/>
    </row>
    <row r="232" spans="5:11" ht="15.75">
      <c r="E232" s="61" t="s">
        <v>5</v>
      </c>
      <c r="F232" s="139">
        <f>SUM(F230/F231)</f>
        <v>0.0678922732790153</v>
      </c>
      <c r="G232" s="9"/>
      <c r="H232" s="18" t="s">
        <v>115</v>
      </c>
      <c r="I232" s="18"/>
      <c r="K232" s="21"/>
    </row>
    <row r="233" spans="5:11" ht="15.75">
      <c r="E233" s="61"/>
      <c r="F233" s="139"/>
      <c r="G233" s="9"/>
      <c r="H233" s="18"/>
      <c r="I233" s="18"/>
      <c r="K233" s="55"/>
    </row>
    <row r="234" spans="1:17" s="35" customFormat="1" ht="18" customHeight="1">
      <c r="A234" s="194" t="s">
        <v>177</v>
      </c>
      <c r="B234" s="194"/>
      <c r="C234" s="194"/>
      <c r="D234" s="194"/>
      <c r="E234" s="195"/>
      <c r="F234" s="196"/>
      <c r="G234" s="196"/>
      <c r="H234" s="196"/>
      <c r="I234" s="196"/>
      <c r="J234" s="211"/>
      <c r="K234" s="197" t="s">
        <v>179</v>
      </c>
      <c r="O234" s="198"/>
      <c r="P234" s="199"/>
      <c r="Q234" s="199"/>
    </row>
    <row r="235" spans="1:17" s="35" customFormat="1" ht="21" customHeight="1">
      <c r="A235" s="200" t="s">
        <v>176</v>
      </c>
      <c r="B235" s="201"/>
      <c r="C235" s="202"/>
      <c r="D235" s="202"/>
      <c r="E235" s="202"/>
      <c r="F235" s="203"/>
      <c r="O235" s="198"/>
      <c r="P235" s="199"/>
      <c r="Q235" s="199"/>
    </row>
    <row r="236" spans="1:11" s="191" customFormat="1" ht="15.75">
      <c r="A236" s="190" t="s">
        <v>77</v>
      </c>
      <c r="B236" s="204"/>
      <c r="D236" s="204"/>
      <c r="E236" s="204"/>
      <c r="F236" s="204"/>
      <c r="G236" s="204"/>
      <c r="H236" s="190"/>
      <c r="I236" s="205"/>
      <c r="J236" s="204"/>
      <c r="K236" s="204"/>
    </row>
    <row r="237" spans="1:11" s="193" customFormat="1" ht="14.25">
      <c r="A237" s="206" t="s">
        <v>178</v>
      </c>
      <c r="B237" s="207"/>
      <c r="D237" s="207"/>
      <c r="E237" s="207"/>
      <c r="F237" s="207"/>
      <c r="G237" s="207"/>
      <c r="H237" s="206"/>
      <c r="I237" s="207"/>
      <c r="J237" s="207"/>
      <c r="K237" s="207"/>
    </row>
    <row r="238" spans="1:5" s="193" customFormat="1" ht="10.5" customHeight="1">
      <c r="A238" s="192"/>
      <c r="E238" s="192"/>
    </row>
  </sheetData>
  <sheetProtection password="C6A6" sheet="1"/>
  <mergeCells count="8">
    <mergeCell ref="C62:K62"/>
    <mergeCell ref="B11:J11"/>
    <mergeCell ref="B2:J2"/>
    <mergeCell ref="B7:J8"/>
    <mergeCell ref="B4:J4"/>
    <mergeCell ref="B5:J5"/>
    <mergeCell ref="B9:J9"/>
    <mergeCell ref="B6:J6"/>
  </mergeCells>
  <hyperlinks>
    <hyperlink ref="A236" r:id="rId1" display="Roy Arnott"/>
  </hyperlinks>
  <printOptions/>
  <pageMargins left="0.75" right="0.75" top="1" bottom="1" header="0.5" footer="0.5"/>
  <pageSetup firstPageNumber="4" useFirstPageNumber="1" fitToHeight="4" fitToWidth="1" horizontalDpi="600" verticalDpi="600" orientation="portrait" scale="71" r:id="rId3"/>
  <headerFooter alignWithMargins="0">
    <oddHeader>&amp;LGuidelines: Flax Straw  Biomass Production Costs&amp;R&amp;P</oddHeader>
    <oddFooter>&amp;RManitoba Agriculture</oddFooter>
  </headerFooter>
  <rowBreaks count="3" manualBreakCount="3">
    <brk id="46" max="10" man="1"/>
    <brk id="95" max="10" man="1"/>
    <brk id="14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Flax Straw Biomass Production Costs</dc:title>
  <dc:subject/>
  <dc:creator>Roy Arnott</dc:creator>
  <cp:keywords/>
  <dc:description/>
  <cp:lastModifiedBy>KMashinini</cp:lastModifiedBy>
  <cp:lastPrinted>2016-11-22T16:49:35Z</cp:lastPrinted>
  <dcterms:created xsi:type="dcterms:W3CDTF">1999-05-11T14:54:42Z</dcterms:created>
  <dcterms:modified xsi:type="dcterms:W3CDTF">2016-11-24T21:13:22Z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TemplateUrl">
    <vt:lpwstr/>
  </property>
  <property fmtid="{D5CDD505-2E9C-101B-9397-08002B2CF9AE}" pid="5" name="PublishingExpirationDate">
    <vt:lpwstr/>
  </property>
  <property fmtid="{D5CDD505-2E9C-101B-9397-08002B2CF9AE}" pid="6" name="xd_ProgID">
    <vt:lpwstr/>
  </property>
  <property fmtid="{D5CDD505-2E9C-101B-9397-08002B2CF9AE}" pid="7" name="PublishingStartDate">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