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0"/>
  </bookViews>
  <sheets>
    <sheet name="Data Entry" sheetId="1" r:id="rId1"/>
    <sheet name="Disclaimer" sheetId="2" r:id="rId2"/>
    <sheet name="Wheat (Moist) Crop" sheetId="3" r:id="rId3"/>
    <sheet name="Wheat (Dry) Crop" sheetId="4" r:id="rId4"/>
    <sheet name="Wheat (Arid) Crop" sheetId="5" r:id="rId5"/>
    <sheet name="Barley (Moist) Crop" sheetId="6" r:id="rId6"/>
    <sheet name="Barley (Dry) Crop" sheetId="7" r:id="rId7"/>
    <sheet name="Barley (Arid) Crop" sheetId="8" r:id="rId8"/>
    <sheet name="Canola Crop" sheetId="9" r:id="rId9"/>
    <sheet name="Canola (hybrid) Crop" sheetId="10" r:id="rId10"/>
    <sheet name="Wheat (Moist) MR" sheetId="11" r:id="rId11"/>
    <sheet name="Wheat (Dry) MR" sheetId="12" r:id="rId12"/>
    <sheet name="Wheat (Arid) MR" sheetId="13" r:id="rId13"/>
    <sheet name="Barley (Moist) MR" sheetId="14" r:id="rId14"/>
    <sheet name="Barley (Dry) MR" sheetId="15" r:id="rId15"/>
    <sheet name="Barley (Arid) MR" sheetId="16" r:id="rId16"/>
    <sheet name="Canola MR" sheetId="17" r:id="rId17"/>
    <sheet name="Canola (hybrid) MR" sheetId="18" r:id="rId18"/>
    <sheet name="Wheat (Moist) Fertilizer" sheetId="19" r:id="rId19"/>
    <sheet name="Wheat (Dry) Fertilizer" sheetId="20" r:id="rId20"/>
    <sheet name="Wheat (Arid) Fertilizer" sheetId="21" r:id="rId21"/>
    <sheet name="Barley (Moist) Fertilizer" sheetId="22" r:id="rId22"/>
    <sheet name="Barley (Dry) Fertilizer" sheetId="23" r:id="rId23"/>
    <sheet name="Barley (Arid) Fertilizer" sheetId="24" r:id="rId24"/>
    <sheet name="Canola Fertilizer" sheetId="25" r:id="rId25"/>
    <sheet name="Canola (hybrid) Fertilizer" sheetId="26" r:id="rId26"/>
  </sheets>
  <definedNames/>
  <calcPr fullCalcOnLoad="1"/>
</workbook>
</file>

<file path=xl/sharedStrings.xml><?xml version="1.0" encoding="utf-8"?>
<sst xmlns="http://schemas.openxmlformats.org/spreadsheetml/2006/main" count="1009" uniqueCount="125">
  <si>
    <t>Yellow Cells Can be Modified</t>
  </si>
  <si>
    <t>Fertilizer Type</t>
  </si>
  <si>
    <t>UREA</t>
  </si>
  <si>
    <t>Cost/ton</t>
  </si>
  <si>
    <t>%N</t>
  </si>
  <si>
    <t>Cost/Unit of N</t>
  </si>
  <si>
    <t xml:space="preserve">Yield </t>
  </si>
  <si>
    <t>Increase</t>
  </si>
  <si>
    <r>
      <t>Net Return ($/ac.)</t>
    </r>
    <r>
      <rPr>
        <b/>
        <sz val="11"/>
        <color indexed="10"/>
        <rFont val="Arial"/>
        <family val="2"/>
      </rPr>
      <t>**</t>
    </r>
  </si>
  <si>
    <t>N Rate</t>
  </si>
  <si>
    <r>
      <t>from 0 lb. N</t>
    </r>
    <r>
      <rPr>
        <b/>
        <sz val="11"/>
        <color indexed="10"/>
        <rFont val="Arial"/>
        <family val="2"/>
      </rPr>
      <t>*</t>
    </r>
  </si>
  <si>
    <t>(lb./acre)</t>
  </si>
  <si>
    <t>(bu./ac.)</t>
  </si>
  <si>
    <r>
      <t>Current N Rate</t>
    </r>
    <r>
      <rPr>
        <b/>
        <sz val="10"/>
        <color indexed="10"/>
        <rFont val="Wingdings"/>
        <family val="0"/>
      </rPr>
      <t>è</t>
    </r>
  </si>
  <si>
    <t>Expected Hybrid Canola Price</t>
  </si>
  <si>
    <t>Canola:N Price Ratio</t>
  </si>
  <si>
    <t xml:space="preserve">  Current N rate from your soil test report or common practice</t>
  </si>
  <si>
    <t>Expected CWRS Wheat Price</t>
  </si>
  <si>
    <t>CWRS Wheat:N Price Ratio</t>
  </si>
  <si>
    <t>**Net Return = (wheat price x yield increase) - (N price x N rate)</t>
  </si>
  <si>
    <t>Fertilizer N</t>
  </si>
  <si>
    <t>incremement</t>
  </si>
  <si>
    <t>Expected Barley Price</t>
  </si>
  <si>
    <t>Barley:N Price Ratio</t>
  </si>
  <si>
    <t>**Net Return = (barley price x yield increase) - (N price x N rate)</t>
  </si>
  <si>
    <t>**Net Return = canola price x yield increase) - (N price x N rate)</t>
  </si>
  <si>
    <t>Expected Canola Price</t>
  </si>
  <si>
    <t>**Net Return = (canola price x yield increase) - (N price x N rate)</t>
  </si>
  <si>
    <t>increment, $</t>
  </si>
  <si>
    <t>Soil test N (0-24")</t>
  </si>
  <si>
    <t>lb N/acre</t>
  </si>
  <si>
    <t>CWRS Wheat</t>
  </si>
  <si>
    <t>Barley</t>
  </si>
  <si>
    <t>Canola</t>
  </si>
  <si>
    <t>Canola (hybrid)</t>
  </si>
  <si>
    <t>Current N Rate (lb N/acre):</t>
  </si>
  <si>
    <t>Expected prices ($/bushel):</t>
  </si>
  <si>
    <t>Cost/tonne</t>
  </si>
  <si>
    <t>within $1.00 of maximum</t>
  </si>
  <si>
    <t>Fertilizer N data</t>
  </si>
  <si>
    <t>Nitrogen $ Rate of Return Calculator</t>
  </si>
  <si>
    <t>MY</t>
  </si>
  <si>
    <t>MR/MC</t>
  </si>
  <si>
    <t>Moist</t>
  </si>
  <si>
    <t xml:space="preserve">Dry </t>
  </si>
  <si>
    <t>Arid</t>
  </si>
  <si>
    <t>Crop and Economic data</t>
  </si>
  <si>
    <t>Manitoba (Moist)</t>
  </si>
  <si>
    <t>Manitoba (Dry)</t>
  </si>
  <si>
    <t>Manitoba (Arid)</t>
  </si>
  <si>
    <t>*Yield responses are averages from 25-site years</t>
  </si>
  <si>
    <t>*Yield responses are averages from 67-site years</t>
  </si>
  <si>
    <t>*Yield responses are averages from 55-site years</t>
  </si>
  <si>
    <t>*Yield responses are averages from 18-site years</t>
  </si>
  <si>
    <t>*Yield responses are averages from 70-site years</t>
  </si>
  <si>
    <t>*Yield responses are averages from 9-site years</t>
  </si>
  <si>
    <t>Fertilizer price</t>
  </si>
  <si>
    <t>increment, $/tonne</t>
  </si>
  <si>
    <t>Crop</t>
  </si>
  <si>
    <t>WHEAT</t>
  </si>
  <si>
    <t>$/bushel</t>
  </si>
  <si>
    <t>Crop/Fertilizer N data</t>
  </si>
  <si>
    <t>BARLEY</t>
  </si>
  <si>
    <t>Expected N Fertilizer Price</t>
  </si>
  <si>
    <t>CANOLA</t>
  </si>
  <si>
    <t>Manitoba (All)</t>
  </si>
  <si>
    <t xml:space="preserve">*Yield responses are averages from 34-site years </t>
  </si>
  <si>
    <t>Average</t>
  </si>
  <si>
    <t>yield</t>
  </si>
  <si>
    <t>Go to Marginal Return Chart</t>
  </si>
  <si>
    <t>Go to Fertilizer Price as a Variable</t>
  </si>
  <si>
    <t>Nitrogen Rate of Return Calculator</t>
  </si>
  <si>
    <t>Wheat, Barley, Canola &amp; Hybrid Canola</t>
  </si>
  <si>
    <t>Manitoba</t>
  </si>
  <si>
    <t>Go to Fertilizer as variable</t>
  </si>
  <si>
    <t>Go to Marginal Cost Chart</t>
  </si>
  <si>
    <t>Return to Wheat (Moist) as variable</t>
  </si>
  <si>
    <t>Return to Wheat (dry) as variable</t>
  </si>
  <si>
    <t>Return to Wheat (Dry) as variable</t>
  </si>
  <si>
    <t>Return to Wheat (Arid) as variable</t>
  </si>
  <si>
    <t>Return to Barley (Arid) as variable</t>
  </si>
  <si>
    <t>Return to Barley (Moist ) as variable</t>
  </si>
  <si>
    <t>Return to Barley (Moist) as variable</t>
  </si>
  <si>
    <t>Return to Barley (Dry) as variable</t>
  </si>
  <si>
    <t>Return to Canola (hybrid) as variable</t>
  </si>
  <si>
    <r>
      <t xml:space="preserve">Net return in blue represents maximum </t>
    </r>
    <r>
      <rPr>
        <sz val="8"/>
        <color indexed="12"/>
        <rFont val="Arial"/>
        <family val="0"/>
      </rPr>
      <t>±</t>
    </r>
    <r>
      <rPr>
        <sz val="8"/>
        <color indexed="12"/>
        <rFont val="Arial"/>
        <family val="2"/>
      </rPr>
      <t xml:space="preserve"> $0.50 for the CWRS Wheat:N Price Ratio range in this table </t>
    </r>
    <r>
      <rPr>
        <sz val="8"/>
        <color indexed="53"/>
        <rFont val="Arial"/>
        <family val="2"/>
      </rPr>
      <t>and in Orange</t>
    </r>
  </si>
  <si>
    <t>** MY=marginal yield is the yield difference as a result of a fertilizer rate increase of</t>
  </si>
  <si>
    <r>
      <t xml:space="preserve">Net return in blue represents maximum </t>
    </r>
    <r>
      <rPr>
        <sz val="8"/>
        <color indexed="12"/>
        <rFont val="Arial"/>
        <family val="0"/>
      </rPr>
      <t>±</t>
    </r>
    <r>
      <rPr>
        <sz val="8"/>
        <color indexed="12"/>
        <rFont val="Arial"/>
        <family val="2"/>
      </rPr>
      <t xml:space="preserve"> $0.50 for the Barley:N Price Ratio range in this table </t>
    </r>
    <r>
      <rPr>
        <sz val="8"/>
        <color indexed="53"/>
        <rFont val="Arial"/>
        <family val="2"/>
      </rPr>
      <t>and in Orange</t>
    </r>
  </si>
  <si>
    <r>
      <t xml:space="preserve">Net return in blue represents maximum </t>
    </r>
    <r>
      <rPr>
        <sz val="8"/>
        <color indexed="12"/>
        <rFont val="Arial"/>
        <family val="0"/>
      </rPr>
      <t>±</t>
    </r>
    <r>
      <rPr>
        <sz val="8"/>
        <color indexed="12"/>
        <rFont val="Arial"/>
        <family val="2"/>
      </rPr>
      <t xml:space="preserve"> $0.50 for the Canola:N Price Ratio range in this table </t>
    </r>
    <r>
      <rPr>
        <sz val="8"/>
        <color indexed="53"/>
        <rFont val="Arial"/>
        <family val="2"/>
      </rPr>
      <t>and in Orange</t>
    </r>
  </si>
  <si>
    <t>Crop to examine:</t>
  </si>
  <si>
    <t>Wheat (Moist)</t>
  </si>
  <si>
    <t>Wheat (Dry)</t>
  </si>
  <si>
    <t>Wheat (Arid)</t>
  </si>
  <si>
    <t>Barley (Moist)</t>
  </si>
  <si>
    <t>Barley (Dry)</t>
  </si>
  <si>
    <t>Barley (Arid)</t>
  </si>
  <si>
    <t>Return to Data Entry</t>
  </si>
  <si>
    <t>Return Canola as variable</t>
  </si>
  <si>
    <t>Return to Canola Crop as variable</t>
  </si>
  <si>
    <t>**Net Return = (wheat price x yield) - (N price x N rate)</t>
  </si>
  <si>
    <t>Go to Total Net Return Below</t>
  </si>
  <si>
    <t>**Net Return = (barley price x yield) - (N price x N rate)</t>
  </si>
  <si>
    <t>Return to Net Return</t>
  </si>
  <si>
    <t>**Net Return = (canola price x yield) - (N price x N rate)</t>
  </si>
  <si>
    <t>*Yield responses are averages from 34-site years</t>
  </si>
  <si>
    <r>
      <t xml:space="preserve">Net return in blue represents maximum </t>
    </r>
    <r>
      <rPr>
        <sz val="8"/>
        <color indexed="12"/>
        <rFont val="Arial"/>
        <family val="0"/>
      </rPr>
      <t>±</t>
    </r>
    <r>
      <rPr>
        <sz val="8"/>
        <color indexed="12"/>
        <rFont val="Arial"/>
        <family val="2"/>
      </rPr>
      <t xml:space="preserve"> $0.50 for the barley:N Price Ratio range in this table </t>
    </r>
    <r>
      <rPr>
        <sz val="8"/>
        <color indexed="53"/>
        <rFont val="Arial"/>
        <family val="2"/>
      </rPr>
      <t>and in Orange</t>
    </r>
  </si>
  <si>
    <t>increment</t>
  </si>
  <si>
    <t>MR/MC=marginal yield/marginal cost, is the return on the last dollar spent on N.</t>
  </si>
  <si>
    <t>Crop price</t>
  </si>
  <si>
    <t>Go to Marginal Revenue  Chart</t>
  </si>
  <si>
    <t>Go to Marginal Revenue Chart</t>
  </si>
  <si>
    <r>
      <t>Marginal Revenue ($/$1 spent on N)</t>
    </r>
    <r>
      <rPr>
        <b/>
        <sz val="11"/>
        <color indexed="10"/>
        <rFont val="Arial"/>
        <family val="2"/>
      </rPr>
      <t>**</t>
    </r>
  </si>
  <si>
    <r>
      <t>Return ($/ac.) Less Fertilizer Costs for Applied N</t>
    </r>
    <r>
      <rPr>
        <b/>
        <sz val="11"/>
        <color indexed="10"/>
        <rFont val="Arial"/>
        <family val="2"/>
      </rPr>
      <t>**</t>
    </r>
  </si>
  <si>
    <r>
      <t>Disclaimer:</t>
    </r>
    <r>
      <rPr>
        <sz val="12"/>
        <rFont val="Times New Roman"/>
        <family val="1"/>
      </rPr>
      <t xml:space="preserve">  </t>
    </r>
  </si>
  <si>
    <t>Disclaimer</t>
  </si>
  <si>
    <t>MR/MC in green represents 1.25 to 1.50 return on the last dollar spent on N.</t>
  </si>
  <si>
    <t>http://www.uwex.edu/ces/crops/NComparison.htm</t>
  </si>
  <si>
    <t>Rankin, M. 2005. Nitrogen $ Rate of Return Calculator Version 3. University of Wisconsin - Extension.</t>
  </si>
  <si>
    <t xml:space="preserve"> Available [Online]:</t>
  </si>
  <si>
    <t>Go to Fertilizer Price as variable</t>
  </si>
  <si>
    <t>Go to Fertilizer Rate as variable</t>
  </si>
  <si>
    <t>Go to Fertilizer Price as a variable</t>
  </si>
  <si>
    <t xml:space="preserve">Economic return comparisons to N fertilization are based on the principle of net return as </t>
  </si>
  <si>
    <t>described by University of Wisconsin Professor M. Rankin.</t>
  </si>
  <si>
    <t>Version 1.0 May 2009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</si>
</sst>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$&quot;#,##0.000"/>
    <numFmt numFmtId="174" formatCode="0.0"/>
    <numFmt numFmtId="175" formatCode="&quot;$&quot;#,##0.0"/>
    <numFmt numFmtId="176" formatCode="[&lt;=9999999]###\-####;###\-###\-####"/>
    <numFmt numFmtId="177" formatCode="&quot;$&quot;#,##0.00;[Red]&quot;$&quot;#,##0.00"/>
    <numFmt numFmtId="178" formatCode="&quot;$&quot;#,##0"/>
    <numFmt numFmtId="179" formatCode="&quot;$&quot;#,##0.0_);[Red]\(&quot;$&quot;#,##0.0\)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7">
    <font>
      <sz val="10"/>
      <name val="Arial"/>
      <family val="0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Wingdings"/>
      <family val="0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16"/>
      <name val="Arial"/>
      <family val="2"/>
    </font>
    <font>
      <sz val="8"/>
      <color indexed="53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sz val="10"/>
      <color indexed="9"/>
      <name val="Arial"/>
      <family val="0"/>
    </font>
    <font>
      <b/>
      <u val="single"/>
      <sz val="10"/>
      <color indexed="10"/>
      <name val="Arial"/>
      <family val="2"/>
    </font>
    <font>
      <sz val="10"/>
      <color indexed="12"/>
      <name val="Arial"/>
      <family val="2"/>
    </font>
    <font>
      <b/>
      <u val="single"/>
      <sz val="10"/>
      <color indexed="17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17"/>
      <name val="Arial"/>
      <family val="2"/>
    </font>
    <font>
      <sz val="8"/>
      <color indexed="17"/>
      <name val="Arial"/>
      <family val="2"/>
    </font>
    <font>
      <sz val="10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49" fontId="5" fillId="3" borderId="5" xfId="0" applyNumberFormat="1" applyFont="1" applyFill="1" applyBorder="1" applyAlignment="1" applyProtection="1">
      <alignment horizontal="center"/>
      <protection locked="0"/>
    </xf>
    <xf numFmtId="1" fontId="4" fillId="3" borderId="6" xfId="0" applyNumberFormat="1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0" fillId="0" borderId="8" xfId="0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4" fillId="0" borderId="1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 vertical="justify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49" fontId="5" fillId="2" borderId="9" xfId="0" applyNumberFormat="1" applyFont="1" applyFill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1" fontId="4" fillId="2" borderId="13" xfId="0" applyNumberFormat="1" applyFont="1" applyFill="1" applyBorder="1" applyAlignment="1" applyProtection="1">
      <alignment horizontal="center"/>
      <protection hidden="1"/>
    </xf>
    <xf numFmtId="172" fontId="6" fillId="4" borderId="0" xfId="0" applyNumberFormat="1" applyFont="1" applyFill="1" applyBorder="1" applyAlignment="1" applyProtection="1">
      <alignment horizontal="center"/>
      <protection hidden="1"/>
    </xf>
    <xf numFmtId="172" fontId="7" fillId="4" borderId="0" xfId="0" applyNumberFormat="1" applyFont="1" applyFill="1" applyBorder="1" applyAlignment="1" applyProtection="1">
      <alignment horizontal="center"/>
      <protection hidden="1"/>
    </xf>
    <xf numFmtId="172" fontId="6" fillId="4" borderId="8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right"/>
      <protection hidden="1"/>
    </xf>
    <xf numFmtId="0" fontId="3" fillId="2" borderId="14" xfId="0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2" borderId="15" xfId="0" applyFill="1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/>
      <protection hidden="1"/>
    </xf>
    <xf numFmtId="0" fontId="5" fillId="0" borderId="17" xfId="0" applyFont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/>
      <protection hidden="1"/>
    </xf>
    <xf numFmtId="175" fontId="3" fillId="2" borderId="13" xfId="0" applyNumberFormat="1" applyFont="1" applyFill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  <xf numFmtId="174" fontId="5" fillId="5" borderId="19" xfId="0" applyNumberFormat="1" applyFont="1" applyFill="1" applyBorder="1" applyAlignment="1" applyProtection="1">
      <alignment horizontal="center"/>
      <protection hidden="1"/>
    </xf>
    <xf numFmtId="174" fontId="5" fillId="5" borderId="20" xfId="0" applyNumberFormat="1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/>
      <protection hidden="1"/>
    </xf>
    <xf numFmtId="0" fontId="5" fillId="4" borderId="7" xfId="0" applyFont="1" applyFill="1" applyBorder="1" applyAlignment="1" applyProtection="1">
      <alignment horizontal="center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4" fillId="2" borderId="15" xfId="0" applyFont="1" applyFill="1" applyBorder="1" applyAlignment="1" applyProtection="1">
      <alignment/>
      <protection hidden="1"/>
    </xf>
    <xf numFmtId="0" fontId="5" fillId="0" borderId="1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8" fillId="0" borderId="1" xfId="0" applyFont="1" applyBorder="1" applyAlignment="1" applyProtection="1">
      <alignment horizontal="right"/>
      <protection hidden="1"/>
    </xf>
    <xf numFmtId="0" fontId="5" fillId="4" borderId="21" xfId="0" applyFont="1" applyFill="1" applyBorder="1" applyAlignment="1" applyProtection="1">
      <alignment horizontal="center"/>
      <protection hidden="1"/>
    </xf>
    <xf numFmtId="0" fontId="5" fillId="4" borderId="2" xfId="0" applyFont="1" applyFill="1" applyBorder="1" applyAlignment="1" applyProtection="1">
      <alignment horizontal="center"/>
      <protection hidden="1"/>
    </xf>
    <xf numFmtId="172" fontId="4" fillId="0" borderId="0" xfId="0" applyNumberFormat="1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 horizontal="left" wrapText="1"/>
      <protection hidden="1"/>
    </xf>
    <xf numFmtId="0" fontId="0" fillId="0" borderId="1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172" fontId="3" fillId="2" borderId="13" xfId="0" applyNumberFormat="1" applyFont="1" applyFill="1" applyBorder="1" applyAlignment="1" applyProtection="1">
      <alignment horizontal="center"/>
      <protection hidden="1"/>
    </xf>
    <xf numFmtId="178" fontId="4" fillId="3" borderId="23" xfId="0" applyNumberFormat="1" applyFont="1" applyFill="1" applyBorder="1" applyAlignment="1" applyProtection="1">
      <alignment horizontal="center"/>
      <protection locked="0"/>
    </xf>
    <xf numFmtId="178" fontId="4" fillId="2" borderId="9" xfId="0" applyNumberFormat="1" applyFont="1" applyFill="1" applyBorder="1" applyAlignment="1" applyProtection="1">
      <alignment horizontal="center"/>
      <protection hidden="1"/>
    </xf>
    <xf numFmtId="172" fontId="5" fillId="2" borderId="6" xfId="0" applyNumberFormat="1" applyFont="1" applyFill="1" applyBorder="1" applyAlignment="1" applyProtection="1">
      <alignment horizontal="center"/>
      <protection hidden="1"/>
    </xf>
    <xf numFmtId="172" fontId="5" fillId="2" borderId="13" xfId="0" applyNumberFormat="1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justify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8" xfId="0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1" xfId="0" applyFont="1" applyFill="1" applyBorder="1" applyAlignment="1" applyProtection="1">
      <alignment horizontal="center"/>
      <protection hidden="1"/>
    </xf>
    <xf numFmtId="0" fontId="5" fillId="0" borderId="16" xfId="0" applyFont="1" applyFill="1" applyBorder="1" applyAlignment="1" applyProtection="1">
      <alignment horizontal="center"/>
      <protection hidden="1"/>
    </xf>
    <xf numFmtId="0" fontId="5" fillId="0" borderId="17" xfId="0" applyFont="1" applyFill="1" applyBorder="1" applyAlignment="1" applyProtection="1">
      <alignment horizontal="center"/>
      <protection hidden="1"/>
    </xf>
    <xf numFmtId="0" fontId="4" fillId="0" borderId="7" xfId="0" applyFont="1" applyFill="1" applyBorder="1" applyAlignment="1" applyProtection="1">
      <alignment horizontal="center"/>
      <protection hidden="1"/>
    </xf>
    <xf numFmtId="0" fontId="4" fillId="0" borderId="18" xfId="0" applyFont="1" applyFill="1" applyBorder="1" applyAlignment="1" applyProtection="1">
      <alignment horizontal="center"/>
      <protection hidden="1"/>
    </xf>
    <xf numFmtId="0" fontId="0" fillId="0" borderId="16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0" fontId="10" fillId="0" borderId="1" xfId="0" applyFont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horizontal="left"/>
      <protection hidden="1"/>
    </xf>
    <xf numFmtId="0" fontId="0" fillId="0" borderId="17" xfId="0" applyFont="1" applyBorder="1" applyAlignment="1" applyProtection="1">
      <alignment/>
      <protection hidden="1"/>
    </xf>
    <xf numFmtId="0" fontId="4" fillId="2" borderId="24" xfId="0" applyFont="1" applyFill="1" applyBorder="1" applyAlignment="1">
      <alignment/>
    </xf>
    <xf numFmtId="172" fontId="4" fillId="2" borderId="9" xfId="0" applyNumberFormat="1" applyFont="1" applyFill="1" applyBorder="1" applyAlignment="1" applyProtection="1">
      <alignment horizontal="center"/>
      <protection hidden="1"/>
    </xf>
    <xf numFmtId="0" fontId="4" fillId="0" borderId="25" xfId="0" applyFont="1" applyFill="1" applyBorder="1" applyAlignment="1" applyProtection="1">
      <alignment horizontal="center"/>
      <protection hidden="1"/>
    </xf>
    <xf numFmtId="0" fontId="4" fillId="0" borderId="26" xfId="0" applyFont="1" applyFill="1" applyBorder="1" applyAlignment="1" applyProtection="1">
      <alignment horizontal="center"/>
      <protection hidden="1"/>
    </xf>
    <xf numFmtId="0" fontId="0" fillId="0" borderId="27" xfId="0" applyBorder="1" applyAlignment="1" applyProtection="1">
      <alignment/>
      <protection hidden="1"/>
    </xf>
    <xf numFmtId="0" fontId="4" fillId="2" borderId="28" xfId="0" applyFont="1" applyFill="1" applyBorder="1" applyAlignment="1" applyProtection="1">
      <alignment horizontal="right"/>
      <protection hidden="1"/>
    </xf>
    <xf numFmtId="0" fontId="5" fillId="3" borderId="29" xfId="0" applyFont="1" applyFill="1" applyBorder="1" applyAlignment="1" applyProtection="1">
      <alignment horizontal="center"/>
      <protection locked="0"/>
    </xf>
    <xf numFmtId="0" fontId="4" fillId="2" borderId="30" xfId="0" applyFont="1" applyFill="1" applyBorder="1" applyAlignment="1">
      <alignment/>
    </xf>
    <xf numFmtId="172" fontId="5" fillId="3" borderId="6" xfId="0" applyNumberFormat="1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horizontal="center"/>
      <protection locked="0"/>
    </xf>
    <xf numFmtId="0" fontId="4" fillId="2" borderId="27" xfId="0" applyFont="1" applyFill="1" applyBorder="1" applyAlignment="1">
      <alignment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4" fillId="2" borderId="28" xfId="0" applyFont="1" applyFill="1" applyBorder="1" applyAlignment="1">
      <alignment/>
    </xf>
    <xf numFmtId="0" fontId="5" fillId="3" borderId="34" xfId="0" applyFont="1" applyFill="1" applyBorder="1" applyAlignment="1" applyProtection="1">
      <alignment horizontal="center"/>
      <protection locked="0"/>
    </xf>
    <xf numFmtId="0" fontId="5" fillId="3" borderId="35" xfId="0" applyFont="1" applyFill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>
      <alignment/>
    </xf>
    <xf numFmtId="0" fontId="5" fillId="3" borderId="36" xfId="0" applyFont="1" applyFill="1" applyBorder="1" applyAlignment="1" applyProtection="1">
      <alignment horizontal="center"/>
      <protection locked="0"/>
    </xf>
    <xf numFmtId="0" fontId="5" fillId="3" borderId="37" xfId="0" applyFont="1" applyFill="1" applyBorder="1" applyAlignment="1" applyProtection="1">
      <alignment horizontal="center"/>
      <protection locked="0"/>
    </xf>
    <xf numFmtId="0" fontId="5" fillId="3" borderId="38" xfId="0" applyFont="1" applyFill="1" applyBorder="1" applyAlignment="1" applyProtection="1">
      <alignment horizontal="center"/>
      <protection locked="0"/>
    </xf>
    <xf numFmtId="0" fontId="4" fillId="2" borderId="39" xfId="0" applyFont="1" applyFill="1" applyBorder="1" applyAlignment="1">
      <alignment/>
    </xf>
    <xf numFmtId="172" fontId="5" fillId="3" borderId="38" xfId="0" applyNumberFormat="1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hidden="1"/>
    </xf>
    <xf numFmtId="0" fontId="5" fillId="2" borderId="13" xfId="0" applyFont="1" applyFill="1" applyBorder="1" applyAlignment="1" applyProtection="1">
      <alignment horizontal="center"/>
      <protection hidden="1"/>
    </xf>
    <xf numFmtId="178" fontId="5" fillId="4" borderId="0" xfId="0" applyNumberFormat="1" applyFont="1" applyFill="1" applyBorder="1" applyAlignment="1" applyProtection="1">
      <alignment horizontal="center"/>
      <protection hidden="1"/>
    </xf>
    <xf numFmtId="178" fontId="7" fillId="4" borderId="0" xfId="0" applyNumberFormat="1" applyFont="1" applyFill="1" applyBorder="1" applyAlignment="1" applyProtection="1">
      <alignment horizontal="center" vertical="justify"/>
      <protection hidden="1"/>
    </xf>
    <xf numFmtId="178" fontId="5" fillId="4" borderId="8" xfId="0" applyNumberFormat="1" applyFont="1" applyFill="1" applyBorder="1" applyAlignment="1" applyProtection="1">
      <alignment horizontal="center"/>
      <protection hidden="1"/>
    </xf>
    <xf numFmtId="174" fontId="5" fillId="5" borderId="26" xfId="0" applyNumberFormat="1" applyFont="1" applyFill="1" applyBorder="1" applyAlignment="1" applyProtection="1">
      <alignment horizontal="center"/>
      <protection hidden="1"/>
    </xf>
    <xf numFmtId="174" fontId="5" fillId="5" borderId="40" xfId="0" applyNumberFormat="1" applyFont="1" applyFill="1" applyBorder="1" applyAlignment="1" applyProtection="1">
      <alignment horizontal="center"/>
      <protection hidden="1"/>
    </xf>
    <xf numFmtId="0" fontId="4" fillId="2" borderId="27" xfId="0" applyFont="1" applyFill="1" applyBorder="1" applyAlignment="1" applyProtection="1">
      <alignment/>
      <protection hidden="1"/>
    </xf>
    <xf numFmtId="0" fontId="0" fillId="0" borderId="27" xfId="0" applyBorder="1" applyAlignment="1">
      <alignment/>
    </xf>
    <xf numFmtId="0" fontId="0" fillId="0" borderId="41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78" fontId="5" fillId="2" borderId="13" xfId="0" applyNumberFormat="1" applyFont="1" applyFill="1" applyBorder="1" applyAlignment="1" applyProtection="1">
      <alignment horizontal="center"/>
      <protection hidden="1"/>
    </xf>
    <xf numFmtId="0" fontId="0" fillId="0" borderId="17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14" fillId="0" borderId="0" xfId="0" applyFont="1" applyBorder="1" applyAlignment="1" applyProtection="1">
      <alignment horizontal="left"/>
      <protection hidden="1"/>
    </xf>
    <xf numFmtId="0" fontId="14" fillId="0" borderId="8" xfId="0" applyFont="1" applyBorder="1" applyAlignment="1" applyProtection="1">
      <alignment horizontal="left"/>
      <protection hidden="1"/>
    </xf>
    <xf numFmtId="0" fontId="14" fillId="0" borderId="17" xfId="0" applyFont="1" applyBorder="1" applyAlignment="1" applyProtection="1">
      <alignment horizontal="left"/>
      <protection hidden="1"/>
    </xf>
    <xf numFmtId="0" fontId="10" fillId="0" borderId="16" xfId="0" applyFont="1" applyBorder="1" applyAlignment="1" applyProtection="1">
      <alignment/>
      <protection hidden="1"/>
    </xf>
    <xf numFmtId="0" fontId="4" fillId="0" borderId="13" xfId="0" applyFont="1" applyBorder="1" applyAlignment="1" applyProtection="1">
      <alignment horizontal="center"/>
      <protection hidden="1"/>
    </xf>
    <xf numFmtId="174" fontId="4" fillId="6" borderId="13" xfId="0" applyNumberFormat="1" applyFont="1" applyFill="1" applyBorder="1" applyAlignment="1" applyProtection="1">
      <alignment horizontal="center"/>
      <protection hidden="1"/>
    </xf>
    <xf numFmtId="0" fontId="15" fillId="0" borderId="0" xfId="20" applyAlignment="1" applyProtection="1">
      <alignment/>
      <protection hidden="1"/>
    </xf>
    <xf numFmtId="0" fontId="12" fillId="7" borderId="11" xfId="0" applyFont="1" applyFill="1" applyBorder="1" applyAlignment="1" applyProtection="1">
      <alignment horizontal="center"/>
      <protection hidden="1"/>
    </xf>
    <xf numFmtId="0" fontId="12" fillId="7" borderId="12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12" fillId="7" borderId="10" xfId="0" applyFont="1" applyFill="1" applyBorder="1" applyAlignment="1" applyProtection="1">
      <alignment horizontal="left"/>
      <protection hidden="1"/>
    </xf>
    <xf numFmtId="0" fontId="12" fillId="7" borderId="1" xfId="0" applyFont="1" applyFill="1" applyBorder="1" applyAlignment="1" applyProtection="1">
      <alignment horizontal="left"/>
      <protection hidden="1"/>
    </xf>
    <xf numFmtId="0" fontId="12" fillId="7" borderId="0" xfId="0" applyFont="1" applyFill="1" applyBorder="1" applyAlignment="1" applyProtection="1">
      <alignment horizontal="center"/>
      <protection hidden="1"/>
    </xf>
    <xf numFmtId="0" fontId="12" fillId="7" borderId="8" xfId="0" applyFont="1" applyFill="1" applyBorder="1" applyAlignment="1" applyProtection="1">
      <alignment horizontal="center"/>
      <protection hidden="1"/>
    </xf>
    <xf numFmtId="179" fontId="5" fillId="2" borderId="18" xfId="0" applyNumberFormat="1" applyFont="1" applyFill="1" applyBorder="1" applyAlignment="1" applyProtection="1">
      <alignment horizontal="center"/>
      <protection hidden="1"/>
    </xf>
    <xf numFmtId="179" fontId="5" fillId="2" borderId="30" xfId="0" applyNumberFormat="1" applyFont="1" applyFill="1" applyBorder="1" applyAlignment="1" applyProtection="1">
      <alignment horizontal="center"/>
      <protection hidden="1"/>
    </xf>
    <xf numFmtId="178" fontId="5" fillId="3" borderId="6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 hidden="1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4" fillId="2" borderId="8" xfId="0" applyFont="1" applyFill="1" applyBorder="1" applyAlignment="1">
      <alignment/>
    </xf>
    <xf numFmtId="0" fontId="13" fillId="0" borderId="17" xfId="0" applyFont="1" applyFill="1" applyBorder="1" applyAlignment="1" applyProtection="1">
      <alignment horizontal="left"/>
      <protection hidden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7" fillId="0" borderId="0" xfId="2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17" fillId="0" borderId="0" xfId="2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4" fillId="0" borderId="19" xfId="0" applyFont="1" applyBorder="1" applyAlignment="1" applyProtection="1">
      <alignment horizontal="center"/>
      <protection hidden="1"/>
    </xf>
    <xf numFmtId="0" fontId="20" fillId="0" borderId="0" xfId="0" applyFont="1" applyAlignment="1">
      <alignment/>
    </xf>
    <xf numFmtId="0" fontId="0" fillId="0" borderId="8" xfId="0" applyFill="1" applyBorder="1" applyAlignment="1" applyProtection="1">
      <alignment/>
      <protection hidden="1"/>
    </xf>
    <xf numFmtId="2" fontId="5" fillId="2" borderId="9" xfId="0" applyNumberFormat="1" applyFont="1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/>
      <protection hidden="1"/>
    </xf>
    <xf numFmtId="0" fontId="0" fillId="0" borderId="22" xfId="0" applyFill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10" fillId="0" borderId="41" xfId="0" applyFont="1" applyBorder="1" applyAlignment="1" applyProtection="1">
      <alignment horizontal="left"/>
      <protection hidden="1"/>
    </xf>
    <xf numFmtId="0" fontId="10" fillId="0" borderId="24" xfId="0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10" fillId="0" borderId="8" xfId="0" applyFont="1" applyBorder="1" applyAlignment="1" applyProtection="1">
      <alignment horizontal="left"/>
      <protection hidden="1"/>
    </xf>
    <xf numFmtId="0" fontId="13" fillId="0" borderId="17" xfId="0" applyFont="1" applyBorder="1" applyAlignment="1" applyProtection="1">
      <alignment horizontal="left"/>
      <protection hidden="1"/>
    </xf>
    <xf numFmtId="0" fontId="11" fillId="0" borderId="17" xfId="0" applyFont="1" applyBorder="1" applyAlignment="1" applyProtection="1">
      <alignment horizontal="left"/>
      <protection hidden="1"/>
    </xf>
    <xf numFmtId="3" fontId="4" fillId="2" borderId="9" xfId="0" applyNumberFormat="1" applyFont="1" applyFill="1" applyBorder="1" applyAlignment="1" applyProtection="1">
      <alignment horizontal="center"/>
      <protection hidden="1"/>
    </xf>
    <xf numFmtId="0" fontId="10" fillId="0" borderId="27" xfId="0" applyFont="1" applyFill="1" applyBorder="1" applyAlignment="1" applyProtection="1">
      <alignment horizontal="left"/>
      <protection hidden="1"/>
    </xf>
    <xf numFmtId="0" fontId="10" fillId="0" borderId="41" xfId="0" applyFont="1" applyFill="1" applyBorder="1" applyAlignment="1" applyProtection="1">
      <alignment horizontal="left"/>
      <protection hidden="1"/>
    </xf>
    <xf numFmtId="0" fontId="10" fillId="0" borderId="24" xfId="0" applyFont="1" applyFill="1" applyBorder="1" applyAlignment="1" applyProtection="1">
      <alignment horizontal="left"/>
      <protection hidden="1"/>
    </xf>
    <xf numFmtId="0" fontId="10" fillId="0" borderId="1" xfId="0" applyFont="1" applyFill="1" applyBorder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left"/>
      <protection hidden="1"/>
    </xf>
    <xf numFmtId="0" fontId="10" fillId="0" borderId="8" xfId="0" applyFont="1" applyFill="1" applyBorder="1" applyAlignment="1" applyProtection="1">
      <alignment horizontal="left"/>
      <protection hidden="1"/>
    </xf>
    <xf numFmtId="0" fontId="13" fillId="0" borderId="16" xfId="0" applyFont="1" applyFill="1" applyBorder="1" applyAlignment="1" applyProtection="1">
      <alignment horizontal="left"/>
      <protection hidden="1"/>
    </xf>
    <xf numFmtId="0" fontId="11" fillId="0" borderId="17" xfId="0" applyFont="1" applyFill="1" applyBorder="1" applyAlignment="1" applyProtection="1">
      <alignment horizontal="left"/>
      <protection hidden="1"/>
    </xf>
    <xf numFmtId="0" fontId="0" fillId="0" borderId="1" xfId="0" applyFont="1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5" fillId="4" borderId="3" xfId="0" applyFont="1" applyFill="1" applyBorder="1" applyAlignment="1" applyProtection="1">
      <alignment horizontal="center"/>
      <protection hidden="1"/>
    </xf>
    <xf numFmtId="0" fontId="4" fillId="0" borderId="35" xfId="0" applyFont="1" applyBorder="1" applyAlignment="1" applyProtection="1">
      <alignment horizontal="center"/>
      <protection hidden="1"/>
    </xf>
    <xf numFmtId="174" fontId="4" fillId="6" borderId="15" xfId="0" applyNumberFormat="1" applyFont="1" applyFill="1" applyBorder="1" applyAlignment="1" applyProtection="1">
      <alignment horizontal="center"/>
      <protection hidden="1"/>
    </xf>
    <xf numFmtId="0" fontId="5" fillId="4" borderId="42" xfId="0" applyFont="1" applyFill="1" applyBorder="1" applyAlignment="1" applyProtection="1">
      <alignment horizontal="center"/>
      <protection hidden="1"/>
    </xf>
    <xf numFmtId="0" fontId="5" fillId="4" borderId="28" xfId="0" applyFont="1" applyFill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23" fillId="0" borderId="0" xfId="0" applyFont="1" applyAlignment="1">
      <alignment/>
    </xf>
    <xf numFmtId="0" fontId="19" fillId="0" borderId="0" xfId="20" applyFont="1" applyAlignment="1">
      <alignment horizontal="center"/>
    </xf>
    <xf numFmtId="0" fontId="3" fillId="0" borderId="1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25" fillId="0" borderId="1" xfId="0" applyFont="1" applyFill="1" applyBorder="1" applyAlignment="1" applyProtection="1">
      <alignment horizontal="left"/>
      <protection hidden="1"/>
    </xf>
    <xf numFmtId="8" fontId="5" fillId="2" borderId="18" xfId="0" applyNumberFormat="1" applyFont="1" applyFill="1" applyBorder="1" applyAlignment="1" applyProtection="1">
      <alignment horizontal="center"/>
      <protection hidden="1"/>
    </xf>
    <xf numFmtId="8" fontId="5" fillId="2" borderId="30" xfId="0" applyNumberFormat="1" applyFont="1" applyFill="1" applyBorder="1" applyAlignment="1" applyProtection="1">
      <alignment horizontal="center"/>
      <protection hidden="1"/>
    </xf>
    <xf numFmtId="8" fontId="24" fillId="2" borderId="18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hidden="1"/>
    </xf>
    <xf numFmtId="0" fontId="15" fillId="0" borderId="0" xfId="20" applyAlignment="1">
      <alignment/>
    </xf>
    <xf numFmtId="0" fontId="4" fillId="0" borderId="0" xfId="0" applyFont="1" applyBorder="1" applyAlignment="1" applyProtection="1">
      <alignment horizontal="center"/>
      <protection hidden="1"/>
    </xf>
    <xf numFmtId="0" fontId="0" fillId="0" borderId="8" xfId="0" applyBorder="1" applyAlignment="1">
      <alignment horizontal="center"/>
    </xf>
    <xf numFmtId="0" fontId="0" fillId="0" borderId="10" xfId="0" applyFill="1" applyBorder="1" applyAlignment="1" applyProtection="1">
      <alignment/>
      <protection locked="0"/>
    </xf>
    <xf numFmtId="0" fontId="5" fillId="5" borderId="22" xfId="0" applyFont="1" applyFill="1" applyBorder="1" applyAlignment="1" applyProtection="1">
      <alignment horizontal="center"/>
      <protection hidden="1"/>
    </xf>
    <xf numFmtId="0" fontId="21" fillId="0" borderId="11" xfId="20" applyFont="1" applyBorder="1" applyAlignment="1" applyProtection="1">
      <alignment horizontal="center" vertical="center" wrapText="1"/>
      <protection hidden="1"/>
    </xf>
    <xf numFmtId="0" fontId="21" fillId="0" borderId="0" xfId="2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8" xfId="0" applyFont="1" applyFill="1" applyBorder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center"/>
      <protection hidden="1"/>
    </xf>
    <xf numFmtId="0" fontId="3" fillId="3" borderId="43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2" fillId="8" borderId="16" xfId="0" applyFont="1" applyFill="1" applyBorder="1" applyAlignment="1" applyProtection="1">
      <alignment horizontal="center"/>
      <protection hidden="1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2" borderId="31" xfId="0" applyFont="1" applyFill="1" applyBorder="1" applyAlignment="1">
      <alignment wrapText="1"/>
    </xf>
    <xf numFmtId="0" fontId="4" fillId="0" borderId="32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5" fillId="7" borderId="31" xfId="0" applyFont="1" applyFill="1" applyBorder="1" applyAlignment="1">
      <alignment horizontal="left"/>
    </xf>
    <xf numFmtId="0" fontId="0" fillId="0" borderId="33" xfId="0" applyBorder="1" applyAlignment="1">
      <alignment/>
    </xf>
    <xf numFmtId="0" fontId="5" fillId="7" borderId="45" xfId="0" applyFont="1" applyFill="1" applyBorder="1" applyAlignment="1">
      <alignment horizontal="left" wrapText="1"/>
    </xf>
    <xf numFmtId="0" fontId="4" fillId="0" borderId="46" xfId="0" applyFont="1" applyBorder="1" applyAlignment="1">
      <alignment wrapText="1"/>
    </xf>
    <xf numFmtId="0" fontId="22" fillId="0" borderId="0" xfId="0" applyFont="1" applyAlignment="1">
      <alignment wrapText="1"/>
    </xf>
    <xf numFmtId="0" fontId="0" fillId="0" borderId="0" xfId="0" applyAlignment="1">
      <alignment wrapText="1"/>
    </xf>
    <xf numFmtId="0" fontId="5" fillId="7" borderId="31" xfId="0" applyFont="1" applyFill="1" applyBorder="1" applyAlignment="1" applyProtection="1">
      <alignment horizontal="left"/>
      <protection hidden="1"/>
    </xf>
    <xf numFmtId="0" fontId="5" fillId="7" borderId="33" xfId="0" applyFont="1" applyFill="1" applyBorder="1" applyAlignment="1" applyProtection="1">
      <alignment horizontal="left"/>
      <protection hidden="1"/>
    </xf>
    <xf numFmtId="0" fontId="5" fillId="0" borderId="11" xfId="0" applyFont="1" applyFill="1" applyBorder="1" applyAlignment="1" applyProtection="1">
      <alignment horizontal="center" vertical="justify"/>
      <protection hidden="1"/>
    </xf>
    <xf numFmtId="0" fontId="0" fillId="0" borderId="11" xfId="0" applyFill="1" applyBorder="1" applyAlignment="1" applyProtection="1">
      <alignment/>
      <protection hidden="1"/>
    </xf>
    <xf numFmtId="0" fontId="10" fillId="0" borderId="27" xfId="0" applyFont="1" applyFill="1" applyBorder="1" applyAlignment="1" applyProtection="1">
      <alignment horizontal="left" wrapText="1"/>
      <protection hidden="1"/>
    </xf>
    <xf numFmtId="0" fontId="10" fillId="0" borderId="41" xfId="0" applyFont="1" applyFill="1" applyBorder="1" applyAlignment="1" applyProtection="1">
      <alignment horizontal="left" wrapText="1"/>
      <protection hidden="1"/>
    </xf>
    <xf numFmtId="0" fontId="10" fillId="0" borderId="24" xfId="0" applyFont="1" applyFill="1" applyBorder="1" applyAlignment="1" applyProtection="1">
      <alignment horizontal="left" wrapText="1"/>
      <protection hidden="1"/>
    </xf>
    <xf numFmtId="0" fontId="10" fillId="0" borderId="1" xfId="0" applyFont="1" applyFill="1" applyBorder="1" applyAlignment="1" applyProtection="1">
      <alignment horizontal="left" wrapText="1"/>
      <protection hidden="1"/>
    </xf>
    <xf numFmtId="0" fontId="10" fillId="0" borderId="0" xfId="0" applyFont="1" applyFill="1" applyBorder="1" applyAlignment="1" applyProtection="1">
      <alignment horizontal="left" wrapText="1"/>
      <protection hidden="1"/>
    </xf>
    <xf numFmtId="0" fontId="10" fillId="0" borderId="8" xfId="0" applyFont="1" applyFill="1" applyBorder="1" applyAlignment="1" applyProtection="1">
      <alignment horizontal="left" wrapText="1"/>
      <protection hidden="1"/>
    </xf>
    <xf numFmtId="0" fontId="13" fillId="0" borderId="16" xfId="0" applyFont="1" applyFill="1" applyBorder="1" applyAlignment="1" applyProtection="1">
      <alignment horizontal="left" wrapText="1"/>
      <protection hidden="1"/>
    </xf>
    <xf numFmtId="0" fontId="13" fillId="0" borderId="17" xfId="0" applyFont="1" applyFill="1" applyBorder="1" applyAlignment="1" applyProtection="1">
      <alignment horizontal="left" wrapText="1"/>
      <protection hidden="1"/>
    </xf>
    <xf numFmtId="0" fontId="11" fillId="0" borderId="17" xfId="0" applyFont="1" applyFill="1" applyBorder="1" applyAlignment="1" applyProtection="1">
      <alignment horizontal="left" wrapText="1"/>
      <protection hidden="1"/>
    </xf>
    <xf numFmtId="0" fontId="0" fillId="0" borderId="17" xfId="0" applyFill="1" applyBorder="1" applyAlignment="1" applyProtection="1">
      <alignment/>
      <protection hidden="1"/>
    </xf>
    <xf numFmtId="0" fontId="0" fillId="0" borderId="22" xfId="0" applyFill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 horizontal="left" wrapText="1"/>
      <protection hidden="1"/>
    </xf>
    <xf numFmtId="0" fontId="11" fillId="0" borderId="0" xfId="0" applyFont="1" applyFill="1" applyBorder="1" applyAlignment="1" applyProtection="1">
      <alignment horizontal="left"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8" xfId="0" applyFill="1" applyBorder="1" applyAlignment="1" applyProtection="1">
      <alignment/>
      <protection hidden="1"/>
    </xf>
    <xf numFmtId="0" fontId="17" fillId="0" borderId="0" xfId="20" applyFont="1" applyBorder="1" applyAlignment="1" applyProtection="1">
      <alignment horizontal="center"/>
      <protection locked="0"/>
    </xf>
    <xf numFmtId="0" fontId="12" fillId="7" borderId="10" xfId="0" applyFont="1" applyFill="1" applyBorder="1" applyAlignment="1" applyProtection="1">
      <alignment horizontal="center"/>
      <protection hidden="1"/>
    </xf>
    <xf numFmtId="0" fontId="12" fillId="7" borderId="11" xfId="0" applyFont="1" applyFill="1" applyBorder="1" applyAlignment="1" applyProtection="1">
      <alignment horizontal="center"/>
      <protection hidden="1"/>
    </xf>
    <xf numFmtId="0" fontId="12" fillId="7" borderId="12" xfId="0" applyFont="1" applyFill="1" applyBorder="1" applyAlignment="1" applyProtection="1">
      <alignment horizontal="center"/>
      <protection hidden="1"/>
    </xf>
    <xf numFmtId="0" fontId="2" fillId="8" borderId="1" xfId="0" applyFont="1" applyFill="1" applyBorder="1" applyAlignment="1" applyProtection="1">
      <alignment horizontal="center"/>
      <protection hidden="1"/>
    </xf>
    <xf numFmtId="0" fontId="2" fillId="8" borderId="0" xfId="0" applyFont="1" applyFill="1" applyBorder="1" applyAlignment="1" applyProtection="1">
      <alignment horizontal="center"/>
      <protection hidden="1"/>
    </xf>
    <xf numFmtId="0" fontId="2" fillId="8" borderId="8" xfId="0" applyFont="1" applyFill="1" applyBorder="1" applyAlignment="1" applyProtection="1">
      <alignment horizontal="center"/>
      <protection hidden="1"/>
    </xf>
    <xf numFmtId="0" fontId="0" fillId="0" borderId="0" xfId="0" applyAlignment="1">
      <alignment/>
    </xf>
    <xf numFmtId="0" fontId="19" fillId="0" borderId="0" xfId="20" applyFont="1" applyBorder="1" applyAlignment="1" applyProtection="1">
      <alignment horizontal="center"/>
      <protection locked="0"/>
    </xf>
    <xf numFmtId="0" fontId="0" fillId="0" borderId="8" xfId="0" applyBorder="1" applyAlignment="1">
      <alignment/>
    </xf>
    <xf numFmtId="0" fontId="10" fillId="0" borderId="1" xfId="0" applyFont="1" applyBorder="1" applyAlignment="1" applyProtection="1">
      <alignment horizontal="left" wrapText="1"/>
      <protection hidden="1"/>
    </xf>
    <xf numFmtId="0" fontId="10" fillId="0" borderId="0" xfId="0" applyFont="1" applyBorder="1" applyAlignment="1" applyProtection="1">
      <alignment horizontal="left" wrapText="1"/>
      <protection hidden="1"/>
    </xf>
    <xf numFmtId="0" fontId="10" fillId="0" borderId="8" xfId="0" applyFont="1" applyBorder="1" applyAlignment="1" applyProtection="1">
      <alignment horizontal="left" wrapText="1"/>
      <protection hidden="1"/>
    </xf>
    <xf numFmtId="0" fontId="5" fillId="0" borderId="11" xfId="0" applyFont="1" applyBorder="1" applyAlignment="1" applyProtection="1">
      <alignment horizontal="center" vertical="justify"/>
      <protection hidden="1"/>
    </xf>
    <xf numFmtId="0" fontId="0" fillId="0" borderId="11" xfId="0" applyBorder="1" applyAlignment="1" applyProtection="1">
      <alignment/>
      <protection hidden="1"/>
    </xf>
    <xf numFmtId="0" fontId="3" fillId="0" borderId="0" xfId="0" applyFont="1" applyAlignment="1">
      <alignment/>
    </xf>
    <xf numFmtId="0" fontId="13" fillId="0" borderId="16" xfId="0" applyFont="1" applyBorder="1" applyAlignment="1" applyProtection="1">
      <alignment horizontal="left" wrapText="1"/>
      <protection hidden="1"/>
    </xf>
    <xf numFmtId="0" fontId="13" fillId="0" borderId="17" xfId="0" applyFont="1" applyBorder="1" applyAlignment="1" applyProtection="1">
      <alignment horizontal="left" wrapText="1"/>
      <protection hidden="1"/>
    </xf>
    <xf numFmtId="0" fontId="11" fillId="0" borderId="17" xfId="0" applyFont="1" applyBorder="1" applyAlignment="1" applyProtection="1">
      <alignment horizontal="left" wrapText="1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8" xfId="0" applyFont="1" applyBorder="1" applyAlignment="1" applyProtection="1">
      <alignment horizontal="center"/>
      <protection hidden="1"/>
    </xf>
    <xf numFmtId="0" fontId="10" fillId="0" borderId="27" xfId="0" applyFont="1" applyBorder="1" applyAlignment="1" applyProtection="1">
      <alignment horizontal="left" wrapText="1"/>
      <protection hidden="1"/>
    </xf>
    <xf numFmtId="0" fontId="10" fillId="0" borderId="41" xfId="0" applyFont="1" applyBorder="1" applyAlignment="1" applyProtection="1">
      <alignment horizontal="left" wrapText="1"/>
      <protection hidden="1"/>
    </xf>
    <xf numFmtId="0" fontId="10" fillId="0" borderId="24" xfId="0" applyFont="1" applyBorder="1" applyAlignment="1" applyProtection="1">
      <alignment horizontal="left" wrapText="1"/>
      <protection hidden="1"/>
    </xf>
    <xf numFmtId="0" fontId="17" fillId="0" borderId="0" xfId="2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7" borderId="7" xfId="0" applyFont="1" applyFill="1" applyBorder="1" applyAlignment="1" applyProtection="1">
      <alignment horizontal="left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26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b/>
        <i val="0"/>
        <color rgb="FFFFFFFF"/>
      </font>
      <fill>
        <patternFill>
          <bgColor rgb="FF0000FF"/>
        </patternFill>
      </fill>
      <border/>
    </dxf>
    <dxf>
      <fill>
        <patternFill>
          <bgColor rgb="FFFF6600"/>
        </patternFill>
      </fill>
      <border/>
    </dxf>
    <dxf>
      <font>
        <b/>
        <i val="0"/>
        <color auto="1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76200</xdr:rowOff>
    </xdr:from>
    <xdr:to>
      <xdr:col>10</xdr:col>
      <xdr:colOff>0</xdr:colOff>
      <xdr:row>11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00075"/>
          <a:ext cx="54864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wex.edu/ces/crops/NComparison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tabSelected="1" workbookViewId="0" topLeftCell="A1">
      <selection activeCell="F24" sqref="F24"/>
    </sheetView>
  </sheetViews>
  <sheetFormatPr defaultColWidth="9.140625" defaultRowHeight="12.75"/>
  <cols>
    <col min="1" max="1" width="3.57421875" style="0" customWidth="1"/>
    <col min="2" max="2" width="18.140625" style="0" customWidth="1"/>
    <col min="3" max="3" width="10.8515625" style="0" customWidth="1"/>
    <col min="5" max="5" width="19.28125" style="0" customWidth="1"/>
    <col min="8" max="8" width="10.7109375" style="0" customWidth="1"/>
    <col min="9" max="9" width="3.421875" style="0" customWidth="1"/>
    <col min="10" max="10" width="3.57421875" style="153" customWidth="1"/>
    <col min="11" max="11" width="16.57421875" style="0" customWidth="1"/>
    <col min="12" max="12" width="7.421875" style="0" customWidth="1"/>
  </cols>
  <sheetData>
    <row r="1" spans="1:11" ht="13.5" thickBot="1">
      <c r="A1" s="211"/>
      <c r="B1" s="139"/>
      <c r="C1" s="139"/>
      <c r="D1" s="139"/>
      <c r="E1" s="139"/>
      <c r="F1" s="139"/>
      <c r="G1" s="140"/>
      <c r="H1" s="140"/>
      <c r="I1" s="141"/>
      <c r="K1" t="s">
        <v>124</v>
      </c>
    </row>
    <row r="2" spans="1:11" ht="20.25">
      <c r="A2" s="142"/>
      <c r="B2" s="131" t="s">
        <v>71</v>
      </c>
      <c r="C2" s="128"/>
      <c r="D2" s="128"/>
      <c r="E2" s="128"/>
      <c r="F2" s="129"/>
      <c r="G2" s="117"/>
      <c r="H2" s="117"/>
      <c r="I2" s="143"/>
      <c r="K2" s="197" t="s">
        <v>114</v>
      </c>
    </row>
    <row r="3" spans="1:9" ht="20.25">
      <c r="A3" s="142"/>
      <c r="B3" s="132" t="s">
        <v>72</v>
      </c>
      <c r="C3" s="133"/>
      <c r="D3" s="133"/>
      <c r="E3" s="133"/>
      <c r="F3" s="134"/>
      <c r="G3" s="117"/>
      <c r="H3" s="117"/>
      <c r="I3" s="143"/>
    </row>
    <row r="4" spans="1:9" ht="21" thickBot="1">
      <c r="A4" s="142"/>
      <c r="B4" s="222" t="s">
        <v>73</v>
      </c>
      <c r="C4" s="223"/>
      <c r="D4" s="223"/>
      <c r="E4" s="223"/>
      <c r="F4" s="224"/>
      <c r="G4" s="117"/>
      <c r="H4" s="117"/>
      <c r="I4" s="143"/>
    </row>
    <row r="5" spans="1:9" ht="13.5" thickBot="1">
      <c r="A5" s="142"/>
      <c r="B5" s="144"/>
      <c r="C5" s="144"/>
      <c r="D5" s="144"/>
      <c r="E5" s="144"/>
      <c r="F5" s="144"/>
      <c r="G5" s="117"/>
      <c r="I5" s="145"/>
    </row>
    <row r="6" spans="1:11" ht="15.75" thickBot="1">
      <c r="A6" s="116"/>
      <c r="B6" s="228" t="s">
        <v>39</v>
      </c>
      <c r="C6" s="229"/>
      <c r="D6" s="117"/>
      <c r="E6" s="117"/>
      <c r="F6" s="117"/>
      <c r="G6" s="117"/>
      <c r="H6" s="117"/>
      <c r="I6" s="145"/>
      <c r="K6" s="152" t="s">
        <v>89</v>
      </c>
    </row>
    <row r="7" spans="1:11" ht="15.75" thickBot="1">
      <c r="A7" s="116"/>
      <c r="B7" s="6" t="s">
        <v>1</v>
      </c>
      <c r="C7" s="7" t="s">
        <v>2</v>
      </c>
      <c r="D7" s="117"/>
      <c r="E7" s="230" t="s">
        <v>46</v>
      </c>
      <c r="F7" s="225" t="s">
        <v>35</v>
      </c>
      <c r="G7" s="226"/>
      <c r="H7" s="227"/>
      <c r="I7" s="145"/>
      <c r="K7" s="156" t="s">
        <v>90</v>
      </c>
    </row>
    <row r="8" spans="1:11" ht="15.75" thickBot="1">
      <c r="A8" s="116"/>
      <c r="B8" s="4" t="s">
        <v>37</v>
      </c>
      <c r="C8" s="58">
        <v>700</v>
      </c>
      <c r="D8" s="117"/>
      <c r="E8" s="231"/>
      <c r="F8" s="93" t="s">
        <v>43</v>
      </c>
      <c r="G8" s="94" t="s">
        <v>44</v>
      </c>
      <c r="H8" s="95" t="s">
        <v>45</v>
      </c>
      <c r="I8" s="145"/>
      <c r="K8" s="156" t="s">
        <v>91</v>
      </c>
    </row>
    <row r="9" spans="1:11" ht="15">
      <c r="A9" s="116"/>
      <c r="B9" s="4" t="s">
        <v>4</v>
      </c>
      <c r="C9" s="8">
        <v>46</v>
      </c>
      <c r="D9" s="117"/>
      <c r="E9" s="96" t="s">
        <v>31</v>
      </c>
      <c r="F9" s="97">
        <v>90</v>
      </c>
      <c r="G9" s="98">
        <v>70</v>
      </c>
      <c r="H9" s="99">
        <v>40</v>
      </c>
      <c r="I9" s="145"/>
      <c r="K9" s="156" t="s">
        <v>92</v>
      </c>
    </row>
    <row r="10" spans="1:11" ht="15.75" thickBot="1">
      <c r="A10" s="116"/>
      <c r="B10" s="4" t="s">
        <v>5</v>
      </c>
      <c r="C10" s="60">
        <f>(C8/((C9/100)*2200))</f>
        <v>0.691699604743083</v>
      </c>
      <c r="D10" s="117"/>
      <c r="E10" s="100" t="s">
        <v>32</v>
      </c>
      <c r="F10" s="101">
        <v>90</v>
      </c>
      <c r="G10" s="102">
        <v>50</v>
      </c>
      <c r="H10" s="103">
        <v>40</v>
      </c>
      <c r="I10" s="145"/>
      <c r="J10" s="157"/>
      <c r="K10" s="156" t="s">
        <v>93</v>
      </c>
    </row>
    <row r="11" spans="1:11" ht="15">
      <c r="A11" s="116"/>
      <c r="B11" s="1" t="s">
        <v>20</v>
      </c>
      <c r="C11" s="88">
        <v>10</v>
      </c>
      <c r="D11" s="117"/>
      <c r="E11" s="100" t="s">
        <v>33</v>
      </c>
      <c r="F11" s="91">
        <v>70</v>
      </c>
      <c r="G11" s="146"/>
      <c r="H11" s="146"/>
      <c r="I11" s="145"/>
      <c r="K11" s="156" t="s">
        <v>94</v>
      </c>
    </row>
    <row r="12" spans="1:11" ht="15">
      <c r="A12" s="116"/>
      <c r="B12" s="5" t="s">
        <v>106</v>
      </c>
      <c r="C12" s="89"/>
      <c r="D12" s="117"/>
      <c r="E12" s="100" t="s">
        <v>34</v>
      </c>
      <c r="F12" s="91">
        <v>100</v>
      </c>
      <c r="G12" s="146"/>
      <c r="H12" s="146"/>
      <c r="I12" s="145"/>
      <c r="K12" s="156" t="s">
        <v>95</v>
      </c>
    </row>
    <row r="13" spans="1:11" ht="15">
      <c r="A13" s="116"/>
      <c r="B13" s="2" t="s">
        <v>108</v>
      </c>
      <c r="C13" s="90">
        <v>0.5</v>
      </c>
      <c r="D13" s="117"/>
      <c r="E13" s="9" t="s">
        <v>36</v>
      </c>
      <c r="F13" s="89"/>
      <c r="G13" s="146"/>
      <c r="H13" s="146"/>
      <c r="I13" s="145"/>
      <c r="K13" s="156" t="s">
        <v>33</v>
      </c>
    </row>
    <row r="14" spans="1:11" ht="15">
      <c r="A14" s="116"/>
      <c r="B14" s="3" t="s">
        <v>28</v>
      </c>
      <c r="C14" s="89"/>
      <c r="D14" s="117"/>
      <c r="E14" s="100" t="s">
        <v>31</v>
      </c>
      <c r="F14" s="90">
        <v>5</v>
      </c>
      <c r="G14" s="146"/>
      <c r="H14" s="146"/>
      <c r="I14" s="145"/>
      <c r="K14" s="156" t="s">
        <v>34</v>
      </c>
    </row>
    <row r="15" spans="1:9" ht="15">
      <c r="A15" s="116"/>
      <c r="B15" s="2" t="s">
        <v>29</v>
      </c>
      <c r="C15" s="91">
        <v>30</v>
      </c>
      <c r="D15" s="117"/>
      <c r="E15" s="100" t="s">
        <v>32</v>
      </c>
      <c r="F15" s="90">
        <v>2.5</v>
      </c>
      <c r="G15" s="146"/>
      <c r="H15" s="146"/>
      <c r="I15" s="145"/>
    </row>
    <row r="16" spans="1:9" ht="15">
      <c r="A16" s="116"/>
      <c r="B16" s="2" t="s">
        <v>30</v>
      </c>
      <c r="C16" s="82"/>
      <c r="D16" s="117"/>
      <c r="E16" s="100" t="s">
        <v>33</v>
      </c>
      <c r="F16" s="90">
        <v>9</v>
      </c>
      <c r="G16" s="146"/>
      <c r="H16" s="146"/>
      <c r="I16" s="145"/>
    </row>
    <row r="17" spans="1:9" ht="15.75" thickBot="1">
      <c r="A17" s="116"/>
      <c r="B17" s="92" t="s">
        <v>56</v>
      </c>
      <c r="C17" s="137">
        <v>50</v>
      </c>
      <c r="D17" s="117"/>
      <c r="E17" s="104" t="s">
        <v>34</v>
      </c>
      <c r="F17" s="105">
        <v>9</v>
      </c>
      <c r="G17" s="146"/>
      <c r="H17" s="146"/>
      <c r="I17" s="145"/>
    </row>
    <row r="18" spans="1:9" ht="14.25">
      <c r="A18" s="116"/>
      <c r="B18" s="2" t="s">
        <v>57</v>
      </c>
      <c r="C18" s="150"/>
      <c r="D18" s="117"/>
      <c r="E18" s="117"/>
      <c r="F18" s="117"/>
      <c r="G18" s="117"/>
      <c r="H18" s="117"/>
      <c r="I18" s="145"/>
    </row>
    <row r="19" spans="2:9" ht="13.5" thickBot="1">
      <c r="B19" s="220" t="s">
        <v>0</v>
      </c>
      <c r="C19" s="221"/>
      <c r="D19" s="117"/>
      <c r="E19" s="117"/>
      <c r="F19" s="117"/>
      <c r="G19" s="117"/>
      <c r="H19" s="117"/>
      <c r="I19" s="145"/>
    </row>
    <row r="20" spans="1:9" ht="13.5" thickBot="1">
      <c r="A20" s="147"/>
      <c r="B20" s="148"/>
      <c r="C20" s="148"/>
      <c r="D20" s="148"/>
      <c r="E20" s="148"/>
      <c r="F20" s="148"/>
      <c r="G20" s="148"/>
      <c r="H20" s="148"/>
      <c r="I20" s="149"/>
    </row>
  </sheetData>
  <sheetProtection password="CE5A" sheet="1" objects="1" scenarios="1"/>
  <mergeCells count="5">
    <mergeCell ref="B19:C19"/>
    <mergeCell ref="B4:F4"/>
    <mergeCell ref="F7:H7"/>
    <mergeCell ref="B6:C6"/>
    <mergeCell ref="E7:E8"/>
  </mergeCells>
  <hyperlinks>
    <hyperlink ref="K7" location="'Wheat (Moist) Crop'!A1" display="Wheat (Moist)"/>
    <hyperlink ref="K8" location="'Wheat (Dry) Crop'!A1" display="Wheat (Dry)"/>
    <hyperlink ref="K9" location="'Wheat (Arid) Crop'!A1" display="Wheat (Arid)"/>
    <hyperlink ref="K10" location="'Barley (Moist) Crop'!A1" display="Barley (Moist)"/>
    <hyperlink ref="K11" location="'Barley (Dry) Crop'!A1" display="Barley (Dry)"/>
    <hyperlink ref="K12" location="'Barley (Arid) Crop'!A1" display="Barley (Arid)"/>
    <hyperlink ref="K13" location="'Canola Crop'!A1" display="Canola"/>
    <hyperlink ref="K14" location="'Canola (hybrid) Crop'!A1" display="Canola (hybrid)"/>
    <hyperlink ref="K2" location="Disclaimer!A1" display="Disclaimer"/>
  </hyperlink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56"/>
  <sheetViews>
    <sheetView showGridLines="0" workbookViewId="0" topLeftCell="A1">
      <selection activeCell="E22" sqref="E22"/>
    </sheetView>
  </sheetViews>
  <sheetFormatPr defaultColWidth="9.140625" defaultRowHeight="12.75"/>
  <cols>
    <col min="1" max="1" width="1.57421875" style="10" customWidth="1"/>
    <col min="2" max="2" width="16.57421875" style="10" customWidth="1"/>
    <col min="3" max="6" width="9.140625" style="10" customWidth="1"/>
    <col min="7" max="7" width="13.57421875" style="10" customWidth="1"/>
    <col min="8" max="14" width="9.140625" style="10" customWidth="1"/>
    <col min="15" max="15" width="11.421875" style="154" customWidth="1"/>
    <col min="16" max="16" width="10.00390625" style="10" customWidth="1"/>
    <col min="17" max="16384" width="9.140625" style="10" customWidth="1"/>
  </cols>
  <sheetData>
    <row r="1" spans="2:10" ht="6" customHeight="1" thickBot="1">
      <c r="B1" s="11"/>
      <c r="C1" s="11"/>
      <c r="D1" s="11"/>
      <c r="E1" s="11"/>
      <c r="F1" s="11"/>
      <c r="G1" s="11"/>
      <c r="H1" s="11"/>
      <c r="I1" s="11"/>
      <c r="J1" s="11"/>
    </row>
    <row r="2" spans="1:14" ht="20.25">
      <c r="A2" s="11"/>
      <c r="B2" s="254" t="s">
        <v>40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6"/>
    </row>
    <row r="3" spans="1:14" ht="20.25">
      <c r="A3" s="11"/>
      <c r="B3" s="257" t="s">
        <v>65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9"/>
    </row>
    <row r="4" spans="1:17" ht="6.75" customHeight="1">
      <c r="A4" s="11"/>
      <c r="B4" s="13"/>
      <c r="C4" s="14"/>
      <c r="D4" s="14"/>
      <c r="E4" s="14"/>
      <c r="F4" s="14"/>
      <c r="G4" s="14"/>
      <c r="H4" s="14"/>
      <c r="I4" s="14"/>
      <c r="J4" s="14"/>
      <c r="K4" s="12"/>
      <c r="L4" s="12"/>
      <c r="M4" s="12"/>
      <c r="N4" s="15"/>
      <c r="O4" s="159"/>
      <c r="P4" s="158"/>
      <c r="Q4" s="158"/>
    </row>
    <row r="5" spans="2:17" ht="12.75">
      <c r="B5" s="198"/>
      <c r="C5" s="199"/>
      <c r="D5" s="199"/>
      <c r="E5" s="253" t="s">
        <v>110</v>
      </c>
      <c r="F5" s="253"/>
      <c r="G5" s="253"/>
      <c r="H5" s="253" t="s">
        <v>119</v>
      </c>
      <c r="I5" s="253"/>
      <c r="J5" s="253"/>
      <c r="K5" s="284"/>
      <c r="L5" s="261" t="s">
        <v>96</v>
      </c>
      <c r="M5" s="260"/>
      <c r="N5" s="262"/>
      <c r="P5" s="158"/>
      <c r="Q5" s="158"/>
    </row>
    <row r="6" spans="1:15" ht="4.5" customHeight="1" thickBot="1">
      <c r="A6" s="16"/>
      <c r="B6" s="17"/>
      <c r="C6" s="18"/>
      <c r="D6" s="18"/>
      <c r="E6" s="18"/>
      <c r="F6" s="18"/>
      <c r="G6" s="18"/>
      <c r="H6" s="18"/>
      <c r="I6" s="18"/>
      <c r="J6" s="18"/>
      <c r="K6" s="12"/>
      <c r="L6" s="12"/>
      <c r="M6" s="12"/>
      <c r="N6" s="15"/>
      <c r="O6" s="155"/>
    </row>
    <row r="7" spans="1:15" ht="15.75" customHeight="1" thickBot="1">
      <c r="A7" s="16"/>
      <c r="B7" s="234" t="s">
        <v>39</v>
      </c>
      <c r="C7" s="235"/>
      <c r="D7" s="18"/>
      <c r="E7" s="18"/>
      <c r="F7" s="18"/>
      <c r="G7" s="18"/>
      <c r="H7" s="18"/>
      <c r="I7" s="19"/>
      <c r="J7" s="18"/>
      <c r="K7" s="19"/>
      <c r="L7" s="12"/>
      <c r="M7" s="12"/>
      <c r="N7" s="15"/>
      <c r="O7" s="155"/>
    </row>
    <row r="8" spans="1:15" ht="15" customHeight="1">
      <c r="A8" s="16"/>
      <c r="B8" s="87" t="s">
        <v>1</v>
      </c>
      <c r="C8" s="21" t="str">
        <f>'Data Entry'!C7</f>
        <v>UREA</v>
      </c>
      <c r="D8" s="18"/>
      <c r="E8" s="22"/>
      <c r="F8" s="23"/>
      <c r="G8" s="213" t="s">
        <v>100</v>
      </c>
      <c r="H8" s="23"/>
      <c r="I8" s="266" t="s">
        <v>14</v>
      </c>
      <c r="J8" s="267"/>
      <c r="K8" s="267"/>
      <c r="L8" s="267"/>
      <c r="M8" s="267"/>
      <c r="N8" s="24"/>
      <c r="O8" s="155"/>
    </row>
    <row r="9" spans="1:15" ht="15">
      <c r="A9" s="16"/>
      <c r="B9" s="20" t="s">
        <v>3</v>
      </c>
      <c r="C9" s="59">
        <f>'Data Entry'!C8</f>
        <v>700</v>
      </c>
      <c r="D9" s="18"/>
      <c r="E9" s="17"/>
      <c r="F9" s="18"/>
      <c r="G9" s="214"/>
      <c r="H9" s="18"/>
      <c r="I9" s="19"/>
      <c r="J9" s="18"/>
      <c r="K9" s="19"/>
      <c r="L9" s="12"/>
      <c r="M9" s="12"/>
      <c r="N9" s="15"/>
      <c r="O9" s="155"/>
    </row>
    <row r="10" spans="1:15" ht="15">
      <c r="A10" s="16"/>
      <c r="B10" s="20" t="s">
        <v>4</v>
      </c>
      <c r="C10" s="25">
        <f>'Data Entry'!C9</f>
        <v>46</v>
      </c>
      <c r="D10" s="18"/>
      <c r="E10" s="17"/>
      <c r="F10" s="18"/>
      <c r="G10" s="214"/>
      <c r="H10" s="26">
        <f>K10-C14*3</f>
        <v>7.5</v>
      </c>
      <c r="I10" s="26">
        <f>K10-C14*2</f>
        <v>8</v>
      </c>
      <c r="J10" s="26">
        <f>K10-C14</f>
        <v>8.5</v>
      </c>
      <c r="K10" s="27">
        <f>'Data Entry'!F17</f>
        <v>9</v>
      </c>
      <c r="L10" s="26">
        <f>K10+C14</f>
        <v>9.5</v>
      </c>
      <c r="M10" s="26">
        <f>K10+C14*2</f>
        <v>10</v>
      </c>
      <c r="N10" s="28">
        <f>K10+C14*3</f>
        <v>10.5</v>
      </c>
      <c r="O10" s="155"/>
    </row>
    <row r="11" spans="1:19" ht="15">
      <c r="A11" s="16"/>
      <c r="B11" s="20" t="s">
        <v>5</v>
      </c>
      <c r="C11" s="61">
        <f>(C9/((C10/100)*2200))</f>
        <v>0.691699604743083</v>
      </c>
      <c r="D11" s="18"/>
      <c r="E11" s="17"/>
      <c r="F11" s="18"/>
      <c r="G11" s="29" t="s">
        <v>6</v>
      </c>
      <c r="H11" s="18"/>
      <c r="I11" s="18"/>
      <c r="J11" s="18"/>
      <c r="K11" s="12"/>
      <c r="L11" s="12"/>
      <c r="M11" s="12"/>
      <c r="N11" s="15"/>
      <c r="O11" s="153"/>
      <c r="P11"/>
      <c r="Q11"/>
      <c r="R11"/>
      <c r="S11"/>
    </row>
    <row r="12" spans="1:19" ht="15">
      <c r="A12" s="16"/>
      <c r="B12" s="30" t="s">
        <v>20</v>
      </c>
      <c r="C12" s="31">
        <f>'Data Entry'!C11</f>
        <v>10</v>
      </c>
      <c r="D12" s="18"/>
      <c r="E12" s="32"/>
      <c r="F12" s="29" t="s">
        <v>67</v>
      </c>
      <c r="G12" s="29" t="s">
        <v>7</v>
      </c>
      <c r="H12" s="274" t="s">
        <v>8</v>
      </c>
      <c r="I12" s="274"/>
      <c r="J12" s="274"/>
      <c r="K12" s="274"/>
      <c r="L12" s="274"/>
      <c r="M12" s="274"/>
      <c r="N12" s="275"/>
      <c r="O12" s="153"/>
      <c r="P12"/>
      <c r="Q12"/>
      <c r="R12"/>
      <c r="S12"/>
    </row>
    <row r="13" spans="1:19" ht="15.75" thickBot="1">
      <c r="A13" s="16"/>
      <c r="B13" s="33" t="s">
        <v>106</v>
      </c>
      <c r="C13" s="34"/>
      <c r="D13" s="18"/>
      <c r="E13" s="35" t="s">
        <v>9</v>
      </c>
      <c r="F13" s="36" t="s">
        <v>68</v>
      </c>
      <c r="G13" s="36" t="s">
        <v>10</v>
      </c>
      <c r="H13" s="219" t="s">
        <v>15</v>
      </c>
      <c r="I13" s="219"/>
      <c r="J13" s="219"/>
      <c r="K13" s="219"/>
      <c r="L13" s="219"/>
      <c r="M13" s="219"/>
      <c r="N13" s="212"/>
      <c r="O13" s="153"/>
      <c r="P13"/>
      <c r="Q13"/>
      <c r="R13"/>
      <c r="S13"/>
    </row>
    <row r="14" spans="1:19" ht="15">
      <c r="A14" s="16"/>
      <c r="B14" s="37" t="s">
        <v>108</v>
      </c>
      <c r="C14" s="38">
        <f>'Data Entry'!C13</f>
        <v>0.5</v>
      </c>
      <c r="D14" s="18"/>
      <c r="E14" s="39" t="s">
        <v>11</v>
      </c>
      <c r="F14" s="40" t="s">
        <v>12</v>
      </c>
      <c r="G14" s="40" t="s">
        <v>12</v>
      </c>
      <c r="H14" s="41">
        <f>H10/$C$11</f>
        <v>10.842857142857143</v>
      </c>
      <c r="I14" s="41">
        <f aca="true" t="shared" si="0" ref="I14:N14">I10/$C$11</f>
        <v>11.565714285714286</v>
      </c>
      <c r="J14" s="41">
        <f t="shared" si="0"/>
        <v>12.288571428571428</v>
      </c>
      <c r="K14" s="41">
        <f t="shared" si="0"/>
        <v>13.01142857142857</v>
      </c>
      <c r="L14" s="41">
        <f t="shared" si="0"/>
        <v>13.734285714285715</v>
      </c>
      <c r="M14" s="41">
        <f t="shared" si="0"/>
        <v>14.457142857142857</v>
      </c>
      <c r="N14" s="42">
        <f t="shared" si="0"/>
        <v>15.18</v>
      </c>
      <c r="O14" s="153"/>
      <c r="P14"/>
      <c r="Q14"/>
      <c r="R14"/>
      <c r="S14"/>
    </row>
    <row r="15" spans="1:19" ht="15">
      <c r="A15" s="16"/>
      <c r="B15" s="43" t="s">
        <v>28</v>
      </c>
      <c r="C15" s="34"/>
      <c r="D15" s="18"/>
      <c r="E15" s="44">
        <f>IF((E19-4*$C$12)&lt;0,0,(E19-4*$C$12))</f>
        <v>60</v>
      </c>
      <c r="F15" s="126">
        <f>G15+(-0.0005*($C$16)^2+0.2317*($C$16))+25.899</f>
        <v>42.702</v>
      </c>
      <c r="G15" s="126">
        <f>IF(((-0.0005*(E15+$C$16)^2+0.2317*(E15+$C$16))-(-0.0005*($C$16)^2+0.2317*($C$16)))&lt;0,0,(-0.0005*(E15+$C$16)^2+0.2317*(E15+$C$16))-(-0.0005*($C$16)^2+0.2317*($C$16)))</f>
        <v>10.301999999999998</v>
      </c>
      <c r="H15" s="135">
        <f aca="true" t="shared" si="1" ref="H15:N23">(H$10*$G15)-($C$11*($E15))</f>
        <v>35.763023715415</v>
      </c>
      <c r="I15" s="135">
        <f t="shared" si="1"/>
        <v>40.914023715415</v>
      </c>
      <c r="J15" s="135">
        <f t="shared" si="1"/>
        <v>46.065023715414995</v>
      </c>
      <c r="K15" s="135">
        <f t="shared" si="1"/>
        <v>51.21602371541499</v>
      </c>
      <c r="L15" s="135">
        <f t="shared" si="1"/>
        <v>56.367023715415</v>
      </c>
      <c r="M15" s="135">
        <f t="shared" si="1"/>
        <v>61.518023715415</v>
      </c>
      <c r="N15" s="136">
        <f t="shared" si="1"/>
        <v>66.669023715415</v>
      </c>
      <c r="O15" s="153"/>
      <c r="P15"/>
      <c r="Q15"/>
      <c r="R15"/>
      <c r="S15"/>
    </row>
    <row r="16" spans="1:19" ht="15">
      <c r="A16" s="16"/>
      <c r="B16" s="37" t="s">
        <v>29</v>
      </c>
      <c r="C16" s="45">
        <f>'Data Entry'!C15</f>
        <v>30</v>
      </c>
      <c r="D16" s="18"/>
      <c r="E16" s="44">
        <f>IF((E20-4*$C$12)&lt;0,0,(E20-4*$C$12))</f>
        <v>70</v>
      </c>
      <c r="F16" s="126">
        <f aca="true" t="shared" si="2" ref="F16:F23">G16+(-0.0005*($C$16)^2+0.2317*($C$16))+25.899</f>
        <v>44.069</v>
      </c>
      <c r="G16" s="126">
        <f aca="true" t="shared" si="3" ref="G16:G23">IF(((-0.0005*(E16+$C$16)^2+0.2317*(E16+$C$16))-(-0.0005*($C$16)^2+0.2317*($C$16)))&lt;0,0,(-0.0005*(E16+$C$16)^2+0.2317*(E16+$C$16))-(-0.0005*($C$16)^2+0.2317*($C$16)))</f>
        <v>11.668999999999999</v>
      </c>
      <c r="H16" s="135">
        <f t="shared" si="1"/>
        <v>39.09852766798417</v>
      </c>
      <c r="I16" s="135">
        <f t="shared" si="1"/>
        <v>44.93302766798418</v>
      </c>
      <c r="J16" s="135">
        <f t="shared" si="1"/>
        <v>50.76752766798418</v>
      </c>
      <c r="K16" s="135">
        <f t="shared" si="1"/>
        <v>56.602027667984174</v>
      </c>
      <c r="L16" s="135">
        <f t="shared" si="1"/>
        <v>62.43652766798418</v>
      </c>
      <c r="M16" s="135">
        <f t="shared" si="1"/>
        <v>68.27102766798417</v>
      </c>
      <c r="N16" s="136">
        <f t="shared" si="1"/>
        <v>74.10552766798418</v>
      </c>
      <c r="O16" s="153"/>
      <c r="P16"/>
      <c r="Q16"/>
      <c r="R16"/>
      <c r="S16"/>
    </row>
    <row r="17" spans="1:19" ht="15">
      <c r="A17" s="16"/>
      <c r="B17" s="43" t="s">
        <v>30</v>
      </c>
      <c r="C17" s="46"/>
      <c r="D17" s="18"/>
      <c r="E17" s="44">
        <f>IF((E21-4*$C$12)&lt;0,0,(E21-4*$C$12))</f>
        <v>80</v>
      </c>
      <c r="F17" s="126">
        <f t="shared" si="2"/>
        <v>45.336</v>
      </c>
      <c r="G17" s="126">
        <f t="shared" si="3"/>
        <v>12.935999999999998</v>
      </c>
      <c r="H17" s="135">
        <f t="shared" si="1"/>
        <v>41.68403162055334</v>
      </c>
      <c r="I17" s="135">
        <f t="shared" si="1"/>
        <v>48.152031620553345</v>
      </c>
      <c r="J17" s="135">
        <f t="shared" si="1"/>
        <v>54.62003162055335</v>
      </c>
      <c r="K17" s="135">
        <f t="shared" si="1"/>
        <v>61.08803162055334</v>
      </c>
      <c r="L17" s="135">
        <f t="shared" si="1"/>
        <v>67.55603162055334</v>
      </c>
      <c r="M17" s="135">
        <f t="shared" si="1"/>
        <v>74.02403162055334</v>
      </c>
      <c r="N17" s="136">
        <f t="shared" si="1"/>
        <v>80.49203162055333</v>
      </c>
      <c r="O17" s="153"/>
      <c r="P17"/>
      <c r="Q17"/>
      <c r="R17"/>
      <c r="S17"/>
    </row>
    <row r="18" spans="1:19" ht="15.75" thickBot="1">
      <c r="A18" s="16"/>
      <c r="B18" s="17"/>
      <c r="C18" s="18"/>
      <c r="D18" s="18"/>
      <c r="E18" s="44">
        <f>IF((E22-4*$C$12)&lt;0,0,(E22-4*$C$12))</f>
        <v>90</v>
      </c>
      <c r="F18" s="126">
        <f t="shared" si="2"/>
        <v>46.503</v>
      </c>
      <c r="G18" s="126">
        <f t="shared" si="3"/>
        <v>14.103</v>
      </c>
      <c r="H18" s="135">
        <f t="shared" si="1"/>
        <v>43.519535573122525</v>
      </c>
      <c r="I18" s="135">
        <f t="shared" si="1"/>
        <v>50.57103557312253</v>
      </c>
      <c r="J18" s="135">
        <f t="shared" si="1"/>
        <v>57.62253557312253</v>
      </c>
      <c r="K18" s="135">
        <f t="shared" si="1"/>
        <v>64.67403557312252</v>
      </c>
      <c r="L18" s="135">
        <f t="shared" si="1"/>
        <v>71.72553557312253</v>
      </c>
      <c r="M18" s="135">
        <f t="shared" si="1"/>
        <v>78.77703557312253</v>
      </c>
      <c r="N18" s="136">
        <f t="shared" si="1"/>
        <v>85.82853557312254</v>
      </c>
      <c r="O18" s="153"/>
      <c r="P18"/>
      <c r="Q18"/>
      <c r="R18"/>
      <c r="S18"/>
    </row>
    <row r="19" spans="1:19" ht="15.75" thickBot="1">
      <c r="A19" s="16"/>
      <c r="B19" s="54"/>
      <c r="C19" s="48"/>
      <c r="D19" s="49" t="s">
        <v>13</v>
      </c>
      <c r="E19" s="50">
        <f>'Data Entry'!F12</f>
        <v>100</v>
      </c>
      <c r="F19" s="126">
        <f t="shared" si="2"/>
        <v>47.57</v>
      </c>
      <c r="G19" s="126">
        <f t="shared" si="3"/>
        <v>15.17</v>
      </c>
      <c r="H19" s="135">
        <f t="shared" si="1"/>
        <v>44.60503952569171</v>
      </c>
      <c r="I19" s="135">
        <f t="shared" si="1"/>
        <v>52.1900395256917</v>
      </c>
      <c r="J19" s="135">
        <f t="shared" si="1"/>
        <v>59.775039525691696</v>
      </c>
      <c r="K19" s="135">
        <f t="shared" si="1"/>
        <v>67.3600395256917</v>
      </c>
      <c r="L19" s="135">
        <f t="shared" si="1"/>
        <v>74.94503952569171</v>
      </c>
      <c r="M19" s="135">
        <f t="shared" si="1"/>
        <v>82.53003952569169</v>
      </c>
      <c r="N19" s="136">
        <f t="shared" si="1"/>
        <v>90.1150395256917</v>
      </c>
      <c r="O19" s="153"/>
      <c r="P19"/>
      <c r="Q19"/>
      <c r="R19"/>
      <c r="S19"/>
    </row>
    <row r="20" spans="1:19" ht="15">
      <c r="A20" s="16"/>
      <c r="B20" s="17"/>
      <c r="C20" s="18"/>
      <c r="D20" s="18"/>
      <c r="E20" s="51">
        <f>E19+C12</f>
        <v>110</v>
      </c>
      <c r="F20" s="126">
        <f t="shared" si="2"/>
        <v>48.53699999999999</v>
      </c>
      <c r="G20" s="126">
        <f t="shared" si="3"/>
        <v>16.136999999999993</v>
      </c>
      <c r="H20" s="135">
        <f t="shared" si="1"/>
        <v>44.94054347826082</v>
      </c>
      <c r="I20" s="135">
        <f t="shared" si="1"/>
        <v>53.00904347826082</v>
      </c>
      <c r="J20" s="135">
        <f t="shared" si="1"/>
        <v>61.07754347826082</v>
      </c>
      <c r="K20" s="135">
        <f t="shared" si="1"/>
        <v>69.14604347826082</v>
      </c>
      <c r="L20" s="135">
        <f t="shared" si="1"/>
        <v>77.21454347826082</v>
      </c>
      <c r="M20" s="135">
        <f t="shared" si="1"/>
        <v>85.28304347826082</v>
      </c>
      <c r="N20" s="136">
        <f t="shared" si="1"/>
        <v>93.3515434782608</v>
      </c>
      <c r="O20" s="153"/>
      <c r="P20"/>
      <c r="Q20"/>
      <c r="R20"/>
      <c r="S20"/>
    </row>
    <row r="21" spans="1:19" ht="15">
      <c r="A21" s="16"/>
      <c r="B21" s="17"/>
      <c r="C21" s="18"/>
      <c r="D21" s="18"/>
      <c r="E21" s="51">
        <f>E19+2*C12</f>
        <v>120</v>
      </c>
      <c r="F21" s="126">
        <f t="shared" si="2"/>
        <v>49.403999999999996</v>
      </c>
      <c r="G21" s="126">
        <f t="shared" si="3"/>
        <v>17.003999999999998</v>
      </c>
      <c r="H21" s="135">
        <f t="shared" si="1"/>
        <v>44.52604743083002</v>
      </c>
      <c r="I21" s="135">
        <f t="shared" si="1"/>
        <v>53.028047430830014</v>
      </c>
      <c r="J21" s="135">
        <f t="shared" si="1"/>
        <v>61.530047430830024</v>
      </c>
      <c r="K21" s="135">
        <f t="shared" si="1"/>
        <v>70.03204743083</v>
      </c>
      <c r="L21" s="135">
        <f t="shared" si="1"/>
        <v>78.53404743083001</v>
      </c>
      <c r="M21" s="135">
        <f t="shared" si="1"/>
        <v>87.03604743083</v>
      </c>
      <c r="N21" s="136">
        <f t="shared" si="1"/>
        <v>95.53804743083</v>
      </c>
      <c r="O21" s="153"/>
      <c r="P21"/>
      <c r="Q21"/>
      <c r="R21"/>
      <c r="S21"/>
    </row>
    <row r="22" spans="1:19" ht="15">
      <c r="A22" s="16"/>
      <c r="B22" s="17"/>
      <c r="C22" s="18"/>
      <c r="D22" s="18"/>
      <c r="E22" s="51">
        <f>E19+3*C12</f>
        <v>130</v>
      </c>
      <c r="F22" s="126">
        <f t="shared" si="2"/>
        <v>50.17099999999999</v>
      </c>
      <c r="G22" s="126">
        <f t="shared" si="3"/>
        <v>17.770999999999994</v>
      </c>
      <c r="H22" s="135">
        <f t="shared" si="1"/>
        <v>43.361551383399146</v>
      </c>
      <c r="I22" s="135">
        <f t="shared" si="1"/>
        <v>52.24705138339915</v>
      </c>
      <c r="J22" s="135">
        <f t="shared" si="1"/>
        <v>61.13255138339916</v>
      </c>
      <c r="K22" s="135">
        <f t="shared" si="1"/>
        <v>70.01805138339914</v>
      </c>
      <c r="L22" s="135">
        <f t="shared" si="1"/>
        <v>78.90355138339915</v>
      </c>
      <c r="M22" s="135">
        <f t="shared" si="1"/>
        <v>87.78905138339913</v>
      </c>
      <c r="N22" s="136">
        <f t="shared" si="1"/>
        <v>96.67455138339913</v>
      </c>
      <c r="O22" s="153"/>
      <c r="P22"/>
      <c r="Q22"/>
      <c r="R22"/>
      <c r="S22"/>
    </row>
    <row r="23" spans="1:19" ht="15">
      <c r="A23" s="16"/>
      <c r="B23" s="17"/>
      <c r="C23" s="18"/>
      <c r="D23" s="18"/>
      <c r="E23" s="51">
        <f>E19+4*C12</f>
        <v>140</v>
      </c>
      <c r="F23" s="126">
        <f t="shared" si="2"/>
        <v>50.837999999999994</v>
      </c>
      <c r="G23" s="126">
        <f t="shared" si="3"/>
        <v>18.437999999999995</v>
      </c>
      <c r="H23" s="135">
        <f t="shared" si="1"/>
        <v>41.447055335968344</v>
      </c>
      <c r="I23" s="135">
        <f t="shared" si="1"/>
        <v>50.66605533596834</v>
      </c>
      <c r="J23" s="135">
        <f t="shared" si="1"/>
        <v>59.88505533596833</v>
      </c>
      <c r="K23" s="135">
        <f t="shared" si="1"/>
        <v>69.10405533596833</v>
      </c>
      <c r="L23" s="135">
        <f t="shared" si="1"/>
        <v>78.32305533596832</v>
      </c>
      <c r="M23" s="135">
        <f t="shared" si="1"/>
        <v>87.54205533596831</v>
      </c>
      <c r="N23" s="136">
        <f t="shared" si="1"/>
        <v>96.76105533596834</v>
      </c>
      <c r="O23" s="153"/>
      <c r="P23"/>
      <c r="Q23"/>
      <c r="R23"/>
      <c r="S23"/>
    </row>
    <row r="24" spans="1:19" ht="11.25" customHeight="1">
      <c r="A24" s="16"/>
      <c r="B24" s="17"/>
      <c r="C24" s="18"/>
      <c r="D24" s="18"/>
      <c r="E24" s="276" t="s">
        <v>66</v>
      </c>
      <c r="F24" s="277"/>
      <c r="G24" s="277"/>
      <c r="H24" s="277"/>
      <c r="I24" s="277"/>
      <c r="J24" s="277"/>
      <c r="K24" s="277"/>
      <c r="L24" s="277"/>
      <c r="M24" s="277"/>
      <c r="N24" s="278"/>
      <c r="O24" s="153"/>
      <c r="P24"/>
      <c r="Q24"/>
      <c r="R24"/>
      <c r="S24"/>
    </row>
    <row r="25" spans="1:19" ht="11.25" customHeight="1">
      <c r="A25" s="16"/>
      <c r="B25" s="17"/>
      <c r="C25" s="18"/>
      <c r="D25" s="18"/>
      <c r="E25" s="263" t="s">
        <v>16</v>
      </c>
      <c r="F25" s="264"/>
      <c r="G25" s="264"/>
      <c r="H25" s="264"/>
      <c r="I25" s="264"/>
      <c r="J25" s="264"/>
      <c r="K25" s="264"/>
      <c r="L25" s="264"/>
      <c r="M25" s="264"/>
      <c r="N25" s="265"/>
      <c r="O25" s="153"/>
      <c r="P25"/>
      <c r="Q25"/>
      <c r="R25"/>
      <c r="S25"/>
    </row>
    <row r="26" spans="1:19" ht="11.25" customHeight="1">
      <c r="A26" s="16"/>
      <c r="B26" s="17"/>
      <c r="C26" s="18"/>
      <c r="D26" s="18"/>
      <c r="E26" s="263" t="s">
        <v>25</v>
      </c>
      <c r="F26" s="264"/>
      <c r="G26" s="264"/>
      <c r="H26" s="264"/>
      <c r="I26" s="264"/>
      <c r="J26" s="264"/>
      <c r="K26" s="264"/>
      <c r="L26" s="264"/>
      <c r="M26" s="264"/>
      <c r="N26" s="265"/>
      <c r="O26" s="153"/>
      <c r="P26"/>
      <c r="Q26"/>
      <c r="R26"/>
      <c r="S26"/>
    </row>
    <row r="27" spans="1:19" ht="11.25" customHeight="1">
      <c r="A27" s="16"/>
      <c r="B27" s="17"/>
      <c r="C27" s="18"/>
      <c r="D27" s="18"/>
      <c r="E27" s="249" t="s">
        <v>88</v>
      </c>
      <c r="F27" s="250"/>
      <c r="G27" s="250"/>
      <c r="H27" s="250"/>
      <c r="I27" s="250"/>
      <c r="J27" s="250"/>
      <c r="K27" s="251"/>
      <c r="L27" s="251"/>
      <c r="M27" s="251"/>
      <c r="N27" s="252"/>
      <c r="O27" s="153"/>
      <c r="P27"/>
      <c r="Q27"/>
      <c r="R27"/>
      <c r="S27"/>
    </row>
    <row r="28" spans="1:19" ht="11.25" customHeight="1" thickBot="1">
      <c r="A28" s="16"/>
      <c r="B28" s="17"/>
      <c r="C28" s="18"/>
      <c r="D28" s="18"/>
      <c r="E28" s="269" t="s">
        <v>38</v>
      </c>
      <c r="F28" s="270"/>
      <c r="G28" s="271"/>
      <c r="H28" s="271"/>
      <c r="I28" s="271"/>
      <c r="J28" s="271"/>
      <c r="K28" s="272"/>
      <c r="L28" s="272"/>
      <c r="M28" s="272"/>
      <c r="N28" s="273"/>
      <c r="O28" s="153"/>
      <c r="P28"/>
      <c r="Q28"/>
      <c r="R28"/>
      <c r="S28"/>
    </row>
    <row r="29" spans="2:19" ht="11.25" customHeight="1">
      <c r="B29" s="17"/>
      <c r="E29" s="264"/>
      <c r="F29" s="264"/>
      <c r="G29" s="264"/>
      <c r="H29" s="264"/>
      <c r="I29" s="264"/>
      <c r="J29" s="264"/>
      <c r="K29" s="264"/>
      <c r="L29" s="264"/>
      <c r="M29" s="264"/>
      <c r="N29" s="265"/>
      <c r="O29" s="153"/>
      <c r="P29"/>
      <c r="Q29"/>
      <c r="R29"/>
      <c r="S29"/>
    </row>
    <row r="30" spans="2:19" ht="10.5" customHeight="1" thickBot="1">
      <c r="B30" s="215"/>
      <c r="C30" s="216"/>
      <c r="D30" s="216"/>
      <c r="E30" s="216"/>
      <c r="F30" s="216"/>
      <c r="G30" s="216"/>
      <c r="H30" s="216"/>
      <c r="I30" s="216"/>
      <c r="J30" s="216"/>
      <c r="K30" s="55"/>
      <c r="L30" s="55"/>
      <c r="M30" s="55"/>
      <c r="N30" s="56"/>
      <c r="O30" s="153"/>
      <c r="P30"/>
      <c r="Q30"/>
      <c r="R30"/>
      <c r="S30"/>
    </row>
    <row r="31" spans="2:19" ht="4.5" customHeight="1" thickBot="1">
      <c r="B31" s="189"/>
      <c r="N31" s="24"/>
      <c r="O31" s="153"/>
      <c r="P31"/>
      <c r="Q31"/>
      <c r="R31"/>
      <c r="S31"/>
    </row>
    <row r="32" spans="1:15" ht="15.75" customHeight="1" thickBot="1">
      <c r="A32" s="16"/>
      <c r="B32" s="234" t="s">
        <v>39</v>
      </c>
      <c r="C32" s="235"/>
      <c r="E32" s="18"/>
      <c r="F32" s="18"/>
      <c r="G32" s="18"/>
      <c r="H32" s="18"/>
      <c r="I32" s="19"/>
      <c r="J32" s="18"/>
      <c r="K32" s="19"/>
      <c r="L32" s="12"/>
      <c r="M32" s="12"/>
      <c r="N32" s="15"/>
      <c r="O32" s="155"/>
    </row>
    <row r="33" spans="1:15" ht="15" customHeight="1">
      <c r="A33" s="16"/>
      <c r="B33" s="87" t="s">
        <v>1</v>
      </c>
      <c r="C33" s="21" t="str">
        <f>'Data Entry'!C7</f>
        <v>UREA</v>
      </c>
      <c r="D33" s="18"/>
      <c r="F33" s="22"/>
      <c r="G33" s="213" t="s">
        <v>102</v>
      </c>
      <c r="H33" s="23"/>
      <c r="I33" s="266" t="s">
        <v>14</v>
      </c>
      <c r="J33" s="267"/>
      <c r="K33" s="267"/>
      <c r="L33" s="267"/>
      <c r="M33" s="267"/>
      <c r="N33" s="24"/>
      <c r="O33" s="155"/>
    </row>
    <row r="34" spans="1:15" ht="15">
      <c r="A34" s="16"/>
      <c r="B34" s="20" t="s">
        <v>3</v>
      </c>
      <c r="C34" s="179">
        <f>'Data Entry'!C8</f>
        <v>700</v>
      </c>
      <c r="D34" s="18"/>
      <c r="F34" s="17"/>
      <c r="G34" s="214"/>
      <c r="H34" s="18"/>
      <c r="I34" s="19"/>
      <c r="J34" s="18"/>
      <c r="K34" s="19"/>
      <c r="L34" s="12"/>
      <c r="M34" s="12"/>
      <c r="N34" s="15"/>
      <c r="O34" s="155"/>
    </row>
    <row r="35" spans="1:15" ht="15">
      <c r="A35" s="16"/>
      <c r="B35" s="20" t="s">
        <v>4</v>
      </c>
      <c r="C35" s="25">
        <f>'Data Entry'!C9</f>
        <v>46</v>
      </c>
      <c r="D35" s="18"/>
      <c r="F35" s="17"/>
      <c r="G35" s="214"/>
      <c r="H35" s="26">
        <f>K35-C39*3</f>
        <v>7.5</v>
      </c>
      <c r="I35" s="26">
        <f>K35-C39*2</f>
        <v>8</v>
      </c>
      <c r="J35" s="26">
        <f>K35-C39</f>
        <v>8.5</v>
      </c>
      <c r="K35" s="27">
        <f>'Data Entry'!F16</f>
        <v>9</v>
      </c>
      <c r="L35" s="26">
        <f>K35+C39</f>
        <v>9.5</v>
      </c>
      <c r="M35" s="26">
        <f>K35+C39*2</f>
        <v>10</v>
      </c>
      <c r="N35" s="28">
        <f>K35+C39*3</f>
        <v>10.5</v>
      </c>
      <c r="O35" s="155"/>
    </row>
    <row r="36" spans="1:15" ht="15">
      <c r="A36" s="16"/>
      <c r="B36" s="20" t="s">
        <v>5</v>
      </c>
      <c r="C36" s="61">
        <f>(C34/((C35/100)*2200))</f>
        <v>0.691699604743083</v>
      </c>
      <c r="D36" s="18"/>
      <c r="F36" s="17"/>
      <c r="G36" s="29" t="s">
        <v>6</v>
      </c>
      <c r="H36" s="18"/>
      <c r="I36" s="18"/>
      <c r="J36" s="18"/>
      <c r="K36" s="12"/>
      <c r="L36" s="12"/>
      <c r="M36" s="12"/>
      <c r="N36" s="15"/>
      <c r="O36" s="155"/>
    </row>
    <row r="37" spans="1:19" ht="15">
      <c r="A37" s="16"/>
      <c r="B37" s="30" t="s">
        <v>20</v>
      </c>
      <c r="C37" s="31">
        <f>'Data Entry'!C11</f>
        <v>10</v>
      </c>
      <c r="D37" s="18"/>
      <c r="F37" s="32"/>
      <c r="G37" s="70" t="s">
        <v>67</v>
      </c>
      <c r="H37" s="217" t="s">
        <v>112</v>
      </c>
      <c r="I37" s="217"/>
      <c r="J37" s="217"/>
      <c r="K37" s="217"/>
      <c r="L37" s="217"/>
      <c r="M37" s="217"/>
      <c r="N37" s="218"/>
      <c r="O37" s="153"/>
      <c r="P37"/>
      <c r="Q37"/>
      <c r="R37"/>
      <c r="S37"/>
    </row>
    <row r="38" spans="1:19" ht="15.75" thickBot="1">
      <c r="A38" s="16"/>
      <c r="B38" s="33" t="s">
        <v>21</v>
      </c>
      <c r="C38" s="34"/>
      <c r="D38" s="18"/>
      <c r="F38" s="35" t="s">
        <v>9</v>
      </c>
      <c r="G38" s="73" t="s">
        <v>68</v>
      </c>
      <c r="H38" s="219" t="s">
        <v>15</v>
      </c>
      <c r="I38" s="219"/>
      <c r="J38" s="219"/>
      <c r="K38" s="219"/>
      <c r="L38" s="219"/>
      <c r="M38" s="219"/>
      <c r="N38" s="212"/>
      <c r="O38" s="153"/>
      <c r="P38"/>
      <c r="Q38"/>
      <c r="R38"/>
      <c r="S38"/>
    </row>
    <row r="39" spans="1:19" ht="15">
      <c r="A39" s="16"/>
      <c r="B39" s="37" t="s">
        <v>108</v>
      </c>
      <c r="C39" s="57">
        <f>'Data Entry'!C13</f>
        <v>0.5</v>
      </c>
      <c r="D39" s="18"/>
      <c r="F39" s="39" t="s">
        <v>11</v>
      </c>
      <c r="G39" s="75" t="s">
        <v>12</v>
      </c>
      <c r="H39" s="41">
        <f aca="true" t="shared" si="4" ref="H39:N39">H35/$C$11</f>
        <v>10.842857142857143</v>
      </c>
      <c r="I39" s="41">
        <f t="shared" si="4"/>
        <v>11.565714285714286</v>
      </c>
      <c r="J39" s="41">
        <f t="shared" si="4"/>
        <v>12.288571428571428</v>
      </c>
      <c r="K39" s="41">
        <f t="shared" si="4"/>
        <v>13.01142857142857</v>
      </c>
      <c r="L39" s="41">
        <f t="shared" si="4"/>
        <v>13.734285714285715</v>
      </c>
      <c r="M39" s="41">
        <f t="shared" si="4"/>
        <v>14.457142857142857</v>
      </c>
      <c r="N39" s="42">
        <f t="shared" si="4"/>
        <v>15.18</v>
      </c>
      <c r="O39" s="153"/>
      <c r="P39"/>
      <c r="Q39"/>
      <c r="R39"/>
      <c r="S39"/>
    </row>
    <row r="40" spans="1:19" ht="15">
      <c r="A40" s="16"/>
      <c r="B40" s="43" t="s">
        <v>28</v>
      </c>
      <c r="C40" s="34"/>
      <c r="D40" s="18"/>
      <c r="F40" s="44">
        <f>IF((F44-4*$C$12)&lt;0,0,(F44-4*$C$12))</f>
        <v>60</v>
      </c>
      <c r="G40" s="126">
        <f>G15+(-0.0005*($C$16)^2+0.2317*($C$16))+25.899</f>
        <v>42.702</v>
      </c>
      <c r="H40" s="135">
        <f aca="true" t="shared" si="5" ref="H40:N48">(H$10*$G40)-($C$11*($F40))</f>
        <v>278.763023715415</v>
      </c>
      <c r="I40" s="135">
        <f t="shared" si="5"/>
        <v>300.114023715415</v>
      </c>
      <c r="J40" s="135">
        <f t="shared" si="5"/>
        <v>321.465023715415</v>
      </c>
      <c r="K40" s="135">
        <f t="shared" si="5"/>
        <v>342.816023715415</v>
      </c>
      <c r="L40" s="135">
        <f t="shared" si="5"/>
        <v>364.167023715415</v>
      </c>
      <c r="M40" s="135">
        <f t="shared" si="5"/>
        <v>385.518023715415</v>
      </c>
      <c r="N40" s="136">
        <f t="shared" si="5"/>
        <v>406.869023715415</v>
      </c>
      <c r="O40" s="153"/>
      <c r="P40"/>
      <c r="Q40"/>
      <c r="R40"/>
      <c r="S40"/>
    </row>
    <row r="41" spans="1:19" ht="15">
      <c r="A41" s="16"/>
      <c r="B41" s="37" t="s">
        <v>29</v>
      </c>
      <c r="C41" s="45">
        <f>'Data Entry'!C15</f>
        <v>30</v>
      </c>
      <c r="D41" s="18"/>
      <c r="F41" s="44">
        <f>IF((F45-4*$C$12)&lt;0,0,(F45-4*$C$12))</f>
        <v>70</v>
      </c>
      <c r="G41" s="126">
        <f aca="true" t="shared" si="6" ref="G41:G48">G16+(-0.0005*($C$16)^2+0.2317*($C$16))+25.899</f>
        <v>44.069</v>
      </c>
      <c r="H41" s="135">
        <f t="shared" si="5"/>
        <v>282.09852766798423</v>
      </c>
      <c r="I41" s="135">
        <f t="shared" si="5"/>
        <v>304.1330276679842</v>
      </c>
      <c r="J41" s="135">
        <f t="shared" si="5"/>
        <v>326.1675276679842</v>
      </c>
      <c r="K41" s="135">
        <f t="shared" si="5"/>
        <v>348.2020276679842</v>
      </c>
      <c r="L41" s="135">
        <f t="shared" si="5"/>
        <v>370.2365276679842</v>
      </c>
      <c r="M41" s="135">
        <f t="shared" si="5"/>
        <v>392.27102766798424</v>
      </c>
      <c r="N41" s="136">
        <f t="shared" si="5"/>
        <v>414.3055276679842</v>
      </c>
      <c r="O41" s="153"/>
      <c r="P41"/>
      <c r="Q41"/>
      <c r="R41"/>
      <c r="S41"/>
    </row>
    <row r="42" spans="1:19" ht="15">
      <c r="A42" s="16"/>
      <c r="B42" s="43" t="s">
        <v>30</v>
      </c>
      <c r="C42" s="46"/>
      <c r="D42" s="18"/>
      <c r="F42" s="44">
        <f>IF((F46-4*$C$12)&lt;0,0,(F46-4*$C$12))</f>
        <v>80</v>
      </c>
      <c r="G42" s="126">
        <f t="shared" si="6"/>
        <v>45.336</v>
      </c>
      <c r="H42" s="135">
        <f t="shared" si="5"/>
        <v>284.68403162055336</v>
      </c>
      <c r="I42" s="135">
        <f t="shared" si="5"/>
        <v>307.35203162055336</v>
      </c>
      <c r="J42" s="135">
        <f t="shared" si="5"/>
        <v>330.02003162055337</v>
      </c>
      <c r="K42" s="135">
        <f t="shared" si="5"/>
        <v>352.6880316205534</v>
      </c>
      <c r="L42" s="135">
        <f t="shared" si="5"/>
        <v>375.3560316205534</v>
      </c>
      <c r="M42" s="135">
        <f t="shared" si="5"/>
        <v>398.0240316205534</v>
      </c>
      <c r="N42" s="136">
        <f t="shared" si="5"/>
        <v>420.69203162055334</v>
      </c>
      <c r="O42" s="153"/>
      <c r="P42"/>
      <c r="Q42"/>
      <c r="R42"/>
      <c r="S42"/>
    </row>
    <row r="43" spans="1:19" ht="15.75" thickBot="1">
      <c r="A43" s="16"/>
      <c r="B43" s="17"/>
      <c r="C43" s="18"/>
      <c r="D43" s="18"/>
      <c r="F43" s="44">
        <f>IF((F47-4*$C$12)&lt;0,0,(F47-4*$C$12))</f>
        <v>90</v>
      </c>
      <c r="G43" s="126">
        <f t="shared" si="6"/>
        <v>46.503</v>
      </c>
      <c r="H43" s="135">
        <f t="shared" si="5"/>
        <v>286.51953557312254</v>
      </c>
      <c r="I43" s="135">
        <f t="shared" si="5"/>
        <v>309.7710355731225</v>
      </c>
      <c r="J43" s="135">
        <f t="shared" si="5"/>
        <v>333.0225355731226</v>
      </c>
      <c r="K43" s="135">
        <f t="shared" si="5"/>
        <v>356.27403557312255</v>
      </c>
      <c r="L43" s="135">
        <f t="shared" si="5"/>
        <v>379.5255355731225</v>
      </c>
      <c r="M43" s="135">
        <f t="shared" si="5"/>
        <v>402.7770355731225</v>
      </c>
      <c r="N43" s="136">
        <f t="shared" si="5"/>
        <v>426.02853557312255</v>
      </c>
      <c r="O43" s="153"/>
      <c r="P43"/>
      <c r="Q43"/>
      <c r="R43"/>
      <c r="S43"/>
    </row>
    <row r="44" spans="1:19" ht="15.75" thickBot="1">
      <c r="A44" s="16"/>
      <c r="B44" s="47"/>
      <c r="C44" s="48"/>
      <c r="E44" s="49" t="s">
        <v>13</v>
      </c>
      <c r="F44" s="50">
        <f>E19</f>
        <v>100</v>
      </c>
      <c r="G44" s="126">
        <f t="shared" si="6"/>
        <v>47.57</v>
      </c>
      <c r="H44" s="135">
        <f t="shared" si="5"/>
        <v>287.60503952569167</v>
      </c>
      <c r="I44" s="135">
        <f t="shared" si="5"/>
        <v>311.3900395256917</v>
      </c>
      <c r="J44" s="135">
        <f t="shared" si="5"/>
        <v>335.1750395256917</v>
      </c>
      <c r="K44" s="135">
        <f t="shared" si="5"/>
        <v>358.9600395256917</v>
      </c>
      <c r="L44" s="135">
        <f t="shared" si="5"/>
        <v>382.7450395256917</v>
      </c>
      <c r="M44" s="135">
        <f t="shared" si="5"/>
        <v>406.5300395256917</v>
      </c>
      <c r="N44" s="136">
        <f t="shared" si="5"/>
        <v>430.3150395256917</v>
      </c>
      <c r="O44" s="153"/>
      <c r="P44"/>
      <c r="Q44"/>
      <c r="R44"/>
      <c r="S44"/>
    </row>
    <row r="45" spans="1:19" ht="15">
      <c r="A45" s="16"/>
      <c r="B45" s="17"/>
      <c r="C45" s="18"/>
      <c r="D45" s="18"/>
      <c r="F45" s="51">
        <f>F44+C37</f>
        <v>110</v>
      </c>
      <c r="G45" s="126">
        <f t="shared" si="6"/>
        <v>48.53699999999999</v>
      </c>
      <c r="H45" s="135">
        <f t="shared" si="5"/>
        <v>287.9405434782608</v>
      </c>
      <c r="I45" s="135">
        <f t="shared" si="5"/>
        <v>312.2090434782608</v>
      </c>
      <c r="J45" s="135">
        <f t="shared" si="5"/>
        <v>336.4775434782608</v>
      </c>
      <c r="K45" s="135">
        <f t="shared" si="5"/>
        <v>360.7460434782608</v>
      </c>
      <c r="L45" s="135">
        <f t="shared" si="5"/>
        <v>385.0145434782608</v>
      </c>
      <c r="M45" s="135">
        <f t="shared" si="5"/>
        <v>409.28304347826077</v>
      </c>
      <c r="N45" s="136">
        <f t="shared" si="5"/>
        <v>433.5515434782608</v>
      </c>
      <c r="O45" s="153"/>
      <c r="P45"/>
      <c r="Q45"/>
      <c r="R45"/>
      <c r="S45"/>
    </row>
    <row r="46" spans="1:19" ht="15">
      <c r="A46" s="16"/>
      <c r="B46" s="17"/>
      <c r="C46" s="52"/>
      <c r="D46" s="18"/>
      <c r="F46" s="51">
        <f>F44+2*C37</f>
        <v>120</v>
      </c>
      <c r="G46" s="126">
        <f t="shared" si="6"/>
        <v>49.403999999999996</v>
      </c>
      <c r="H46" s="135">
        <f t="shared" si="5"/>
        <v>287.52604743083</v>
      </c>
      <c r="I46" s="135">
        <f t="shared" si="5"/>
        <v>312.22804743083</v>
      </c>
      <c r="J46" s="135">
        <f t="shared" si="5"/>
        <v>336.93004743083</v>
      </c>
      <c r="K46" s="135">
        <f t="shared" si="5"/>
        <v>361.63204743082997</v>
      </c>
      <c r="L46" s="135">
        <f t="shared" si="5"/>
        <v>386.33404743082997</v>
      </c>
      <c r="M46" s="135">
        <f t="shared" si="5"/>
        <v>411.03604743082997</v>
      </c>
      <c r="N46" s="136">
        <f t="shared" si="5"/>
        <v>435.73804743082997</v>
      </c>
      <c r="O46" s="153"/>
      <c r="P46"/>
      <c r="Q46"/>
      <c r="R46"/>
      <c r="S46"/>
    </row>
    <row r="47" spans="1:19" ht="15">
      <c r="A47" s="16"/>
      <c r="B47" s="17"/>
      <c r="C47" s="18"/>
      <c r="D47" s="18"/>
      <c r="F47" s="51">
        <f>F44+3*C37</f>
        <v>130</v>
      </c>
      <c r="G47" s="126">
        <f t="shared" si="6"/>
        <v>50.17099999999999</v>
      </c>
      <c r="H47" s="135">
        <f t="shared" si="5"/>
        <v>286.3615513833991</v>
      </c>
      <c r="I47" s="135">
        <f t="shared" si="5"/>
        <v>311.4470513833991</v>
      </c>
      <c r="J47" s="135">
        <f t="shared" si="5"/>
        <v>336.53255138339915</v>
      </c>
      <c r="K47" s="135">
        <f t="shared" si="5"/>
        <v>361.6180513833991</v>
      </c>
      <c r="L47" s="135">
        <f t="shared" si="5"/>
        <v>386.7035513833991</v>
      </c>
      <c r="M47" s="135">
        <f t="shared" si="5"/>
        <v>411.7890513833991</v>
      </c>
      <c r="N47" s="136">
        <f t="shared" si="5"/>
        <v>436.87455138339914</v>
      </c>
      <c r="O47" s="153"/>
      <c r="P47"/>
      <c r="Q47"/>
      <c r="R47"/>
      <c r="S47"/>
    </row>
    <row r="48" spans="1:19" ht="15">
      <c r="A48" s="16"/>
      <c r="B48" s="17"/>
      <c r="C48" s="18"/>
      <c r="D48" s="18"/>
      <c r="F48" s="51">
        <f>F44+4*C37</f>
        <v>140</v>
      </c>
      <c r="G48" s="126">
        <f t="shared" si="6"/>
        <v>50.837999999999994</v>
      </c>
      <c r="H48" s="135">
        <f t="shared" si="5"/>
        <v>284.44705533596834</v>
      </c>
      <c r="I48" s="135">
        <f t="shared" si="5"/>
        <v>309.8660553359683</v>
      </c>
      <c r="J48" s="135">
        <f t="shared" si="5"/>
        <v>335.2850553359683</v>
      </c>
      <c r="K48" s="135">
        <f t="shared" si="5"/>
        <v>360.7040553359683</v>
      </c>
      <c r="L48" s="135">
        <f t="shared" si="5"/>
        <v>386.12305533596833</v>
      </c>
      <c r="M48" s="135">
        <f t="shared" si="5"/>
        <v>411.5420553359683</v>
      </c>
      <c r="N48" s="136">
        <f t="shared" si="5"/>
        <v>436.96105533596835</v>
      </c>
      <c r="O48" s="153"/>
      <c r="P48"/>
      <c r="Q48"/>
      <c r="R48"/>
      <c r="S48"/>
    </row>
    <row r="49" spans="1:19" ht="13.5" customHeight="1">
      <c r="A49" s="16"/>
      <c r="B49" s="17"/>
      <c r="C49" s="18"/>
      <c r="D49" s="18"/>
      <c r="F49" s="180" t="s">
        <v>104</v>
      </c>
      <c r="G49" s="173"/>
      <c r="H49" s="173"/>
      <c r="I49" s="173"/>
      <c r="J49" s="173"/>
      <c r="K49" s="173"/>
      <c r="L49" s="173"/>
      <c r="M49" s="173"/>
      <c r="N49" s="174"/>
      <c r="O49" s="153"/>
      <c r="P49"/>
      <c r="Q49"/>
      <c r="R49"/>
      <c r="S49"/>
    </row>
    <row r="50" spans="1:19" ht="9.75" customHeight="1">
      <c r="A50" s="16"/>
      <c r="B50" s="17"/>
      <c r="C50" s="18"/>
      <c r="D50" s="18"/>
      <c r="F50" s="183" t="s">
        <v>16</v>
      </c>
      <c r="G50" s="175"/>
      <c r="H50" s="175"/>
      <c r="I50" s="175"/>
      <c r="J50" s="175"/>
      <c r="K50" s="175"/>
      <c r="L50" s="175"/>
      <c r="M50" s="175"/>
      <c r="N50" s="176"/>
      <c r="O50" s="153"/>
      <c r="P50"/>
      <c r="Q50"/>
      <c r="R50"/>
      <c r="S50"/>
    </row>
    <row r="51" spans="1:19" ht="9.75" customHeight="1">
      <c r="A51" s="16"/>
      <c r="B51" s="17"/>
      <c r="C51" s="18"/>
      <c r="D51" s="18"/>
      <c r="F51" s="183" t="s">
        <v>103</v>
      </c>
      <c r="G51" s="175"/>
      <c r="H51" s="175"/>
      <c r="I51" s="175"/>
      <c r="J51" s="175"/>
      <c r="K51" s="175"/>
      <c r="L51" s="175"/>
      <c r="M51" s="175"/>
      <c r="N51" s="176"/>
      <c r="O51" s="153"/>
      <c r="P51"/>
      <c r="Q51"/>
      <c r="R51"/>
      <c r="S51"/>
    </row>
    <row r="52" spans="1:19" ht="11.25" customHeight="1">
      <c r="A52" s="16"/>
      <c r="B52" s="17"/>
      <c r="C52" s="18"/>
      <c r="D52" s="18"/>
      <c r="F52" s="79" t="s">
        <v>88</v>
      </c>
      <c r="G52" s="80"/>
      <c r="H52" s="80"/>
      <c r="I52" s="80"/>
      <c r="J52" s="80"/>
      <c r="K52" s="130"/>
      <c r="L52" s="130"/>
      <c r="M52" s="130"/>
      <c r="N52" s="166"/>
      <c r="O52" s="153"/>
      <c r="P52"/>
      <c r="Q52"/>
      <c r="R52"/>
      <c r="S52"/>
    </row>
    <row r="53" spans="1:19" ht="12" customHeight="1" thickBot="1">
      <c r="A53" s="16"/>
      <c r="B53" s="17"/>
      <c r="C53" s="18"/>
      <c r="D53" s="18"/>
      <c r="F53" s="186" t="s">
        <v>38</v>
      </c>
      <c r="G53" s="177"/>
      <c r="H53" s="178"/>
      <c r="I53" s="178"/>
      <c r="J53" s="178"/>
      <c r="K53" s="170"/>
      <c r="L53" s="170"/>
      <c r="M53" s="170"/>
      <c r="N53" s="171"/>
      <c r="O53" s="153"/>
      <c r="P53"/>
      <c r="Q53"/>
      <c r="R53"/>
      <c r="S53"/>
    </row>
    <row r="54" spans="1:19" ht="11.25" customHeight="1">
      <c r="A54" s="16"/>
      <c r="B54" s="17"/>
      <c r="C54" s="18"/>
      <c r="D54" s="18"/>
      <c r="E54" s="53"/>
      <c r="F54" s="53"/>
      <c r="G54" s="53"/>
      <c r="H54" s="53"/>
      <c r="I54" s="53"/>
      <c r="J54" s="53"/>
      <c r="K54" s="12"/>
      <c r="L54" s="12"/>
      <c r="M54" s="12"/>
      <c r="N54" s="15"/>
      <c r="O54" s="153"/>
      <c r="P54"/>
      <c r="Q54"/>
      <c r="R54"/>
      <c r="S54"/>
    </row>
    <row r="55" spans="2:19" ht="11.25" customHeight="1" thickBot="1">
      <c r="B55" s="215"/>
      <c r="C55" s="216"/>
      <c r="D55" s="216"/>
      <c r="E55" s="216"/>
      <c r="F55" s="216"/>
      <c r="G55" s="216"/>
      <c r="H55" s="216"/>
      <c r="I55" s="216"/>
      <c r="J55" s="216"/>
      <c r="K55" s="55"/>
      <c r="L55" s="55"/>
      <c r="M55" s="55"/>
      <c r="N55" s="56"/>
      <c r="O55" s="153"/>
      <c r="P55"/>
      <c r="Q55"/>
      <c r="R55"/>
      <c r="S55"/>
    </row>
    <row r="56" spans="15:19" ht="12.75">
      <c r="O56" s="153"/>
      <c r="P56"/>
      <c r="Q56"/>
      <c r="R56"/>
      <c r="S56"/>
    </row>
  </sheetData>
  <sheetProtection password="CE5A" sheet="1" objects="1" scenarios="1"/>
  <mergeCells count="23">
    <mergeCell ref="E28:N28"/>
    <mergeCell ref="E29:N29"/>
    <mergeCell ref="E27:N27"/>
    <mergeCell ref="I8:M8"/>
    <mergeCell ref="H12:N12"/>
    <mergeCell ref="E25:N25"/>
    <mergeCell ref="E26:N26"/>
    <mergeCell ref="B2:N2"/>
    <mergeCell ref="B3:N3"/>
    <mergeCell ref="B7:C7"/>
    <mergeCell ref="H5:K5"/>
    <mergeCell ref="E5:G5"/>
    <mergeCell ref="L5:N5"/>
    <mergeCell ref="H38:N38"/>
    <mergeCell ref="B55:J55"/>
    <mergeCell ref="G8:G10"/>
    <mergeCell ref="B32:C32"/>
    <mergeCell ref="G33:G35"/>
    <mergeCell ref="I33:M33"/>
    <mergeCell ref="H37:N37"/>
    <mergeCell ref="H13:N13"/>
    <mergeCell ref="E24:N24"/>
    <mergeCell ref="B30:J30"/>
  </mergeCells>
  <conditionalFormatting sqref="H40:H48">
    <cfRule type="cellIs" priority="1" dxfId="0" operator="between" stopIfTrue="1">
      <formula>MAX($H$40:$H$48)-0.5</formula>
      <formula>MAX($H$40:$H$48)+0.5</formula>
    </cfRule>
    <cfRule type="cellIs" priority="2" dxfId="1" operator="between" stopIfTrue="1">
      <formula>MAX($H$40:$H$48)-0.5</formula>
      <formula>MAX($H$40:$H$48)-1.5</formula>
    </cfRule>
    <cfRule type="cellIs" priority="3" dxfId="1" operator="between" stopIfTrue="1">
      <formula>MAX($H$40:$H$48+0.5)</formula>
      <formula>MAX($H$40:$H$48)+1.5</formula>
    </cfRule>
  </conditionalFormatting>
  <conditionalFormatting sqref="I40:I48">
    <cfRule type="cellIs" priority="4" dxfId="0" operator="between" stopIfTrue="1">
      <formula>MAX($I$40:$I$55)-0.5</formula>
      <formula>MAX($I$40:$I$55)+0.5</formula>
    </cfRule>
    <cfRule type="cellIs" priority="5" dxfId="1" operator="between" stopIfTrue="1">
      <formula>MAX($I$40:$I$55)-0.5</formula>
      <formula>MAX($I$40:$I$55)-1.5</formula>
    </cfRule>
    <cfRule type="cellIs" priority="6" dxfId="1" operator="between" stopIfTrue="1">
      <formula>MAX($I$40:$I$55)+0.5</formula>
      <formula>MAX($I$40:$I$55)+1.5</formula>
    </cfRule>
  </conditionalFormatting>
  <conditionalFormatting sqref="J40:J48">
    <cfRule type="cellIs" priority="7" dxfId="0" operator="between" stopIfTrue="1">
      <formula>MAX($J$40:$J$55)-0.5</formula>
      <formula>MAX($J$40:$J$55)+0.5</formula>
    </cfRule>
    <cfRule type="cellIs" priority="8" dxfId="1" operator="between" stopIfTrue="1">
      <formula>MAX($J$40:$J$55)-0.5</formula>
      <formula>MAX($J$40:$J$55)-1.5</formula>
    </cfRule>
    <cfRule type="cellIs" priority="9" dxfId="1" operator="between" stopIfTrue="1">
      <formula>MAX($J$40:$J$55)+0.5</formula>
      <formula>MAX($J$40:$J$55)+1.5</formula>
    </cfRule>
  </conditionalFormatting>
  <conditionalFormatting sqref="K40:K48">
    <cfRule type="cellIs" priority="10" dxfId="0" operator="between" stopIfTrue="1">
      <formula>MAX($K$40:$K$55)-0.5</formula>
      <formula>MAX($K$40:$K$55)+0.5</formula>
    </cfRule>
    <cfRule type="cellIs" priority="11" dxfId="1" operator="between" stopIfTrue="1">
      <formula>MAX($K$40:$K$55)-0.5</formula>
      <formula>MAX($K$40:$K$55)-1.5</formula>
    </cfRule>
    <cfRule type="cellIs" priority="12" dxfId="1" operator="between" stopIfTrue="1">
      <formula>MAX($K$40:$K$55)+0.5</formula>
      <formula>MAX($K$40:$K$55)+1.5</formula>
    </cfRule>
  </conditionalFormatting>
  <conditionalFormatting sqref="L40:L48">
    <cfRule type="cellIs" priority="13" dxfId="0" operator="between" stopIfTrue="1">
      <formula>MAX($L$40:$L$55)-0.5</formula>
      <formula>MAX($L$40:$L$55)+0.5</formula>
    </cfRule>
    <cfRule type="cellIs" priority="14" dxfId="1" operator="between" stopIfTrue="1">
      <formula>MAX($L$40:$L$55)-0.5</formula>
      <formula>MAX($L$40:$L$55)-1.5</formula>
    </cfRule>
    <cfRule type="cellIs" priority="15" dxfId="1" operator="between" stopIfTrue="1">
      <formula>MAX($L$40:$L$55)+0.5</formula>
      <formula>MAX($L$40:$L$55)+1.5</formula>
    </cfRule>
  </conditionalFormatting>
  <conditionalFormatting sqref="M40:M48">
    <cfRule type="cellIs" priority="16" dxfId="0" operator="between" stopIfTrue="1">
      <formula>MAX($M$40:$M$55)-0.5</formula>
      <formula>MAX($M$40:$M$55)+0.5</formula>
    </cfRule>
    <cfRule type="cellIs" priority="17" dxfId="1" operator="between" stopIfTrue="1">
      <formula>MAX($M$40:$M$55)-0.5</formula>
      <formula>MAX($M$40:$M$55)-1.5</formula>
    </cfRule>
    <cfRule type="cellIs" priority="18" dxfId="1" operator="between" stopIfTrue="1">
      <formula>MAX($M$40:$M$55)+0.5</formula>
      <formula>MAX($M$40:$M$55)+1.5</formula>
    </cfRule>
  </conditionalFormatting>
  <conditionalFormatting sqref="N40:N48">
    <cfRule type="cellIs" priority="19" dxfId="0" operator="between" stopIfTrue="1">
      <formula>MAX($N$40:$N$55)-0.5</formula>
      <formula>MAX($N$40:$N$55)+0.5</formula>
    </cfRule>
    <cfRule type="cellIs" priority="20" dxfId="1" operator="between" stopIfTrue="1">
      <formula>MAX($N$40:$N$55)-0.5</formula>
      <formula>MAX($N$40:$N$55)-1.5</formula>
    </cfRule>
    <cfRule type="cellIs" priority="21" dxfId="1" operator="between" stopIfTrue="1">
      <formula>MAX($N$40:$N$55)+0.5</formula>
      <formula>MAX($N$40:$N$55)+1.5</formula>
    </cfRule>
  </conditionalFormatting>
  <conditionalFormatting sqref="I15:I23">
    <cfRule type="cellIs" priority="22" dxfId="0" operator="between" stopIfTrue="1">
      <formula>MAX($I$15:$I$23)-0.5</formula>
      <formula>MAX($I$15:$I$23)+0.5</formula>
    </cfRule>
    <cfRule type="cellIs" priority="23" dxfId="1" operator="between" stopIfTrue="1">
      <formula>MAX($I$15:$I$23)-0.5</formula>
      <formula>MAX($I$15:$I$23)-1.5</formula>
    </cfRule>
    <cfRule type="cellIs" priority="24" dxfId="1" operator="between" stopIfTrue="1">
      <formula>MAX($I$15:$I$23)+0.5</formula>
      <formula>MAX($I$15:$I$23)+1.5</formula>
    </cfRule>
  </conditionalFormatting>
  <conditionalFormatting sqref="J15:J23">
    <cfRule type="cellIs" priority="25" dxfId="0" operator="between" stopIfTrue="1">
      <formula>MAX($J$15:$J$23)-0.5</formula>
      <formula>MAX($J$15:$J$23)+0.5</formula>
    </cfRule>
    <cfRule type="cellIs" priority="26" dxfId="1" operator="between" stopIfTrue="1">
      <formula>MAX($J$15:$J$23)-0.5</formula>
      <formula>MAX($J$15:$J$23)-1.5</formula>
    </cfRule>
    <cfRule type="cellIs" priority="27" dxfId="1" operator="between" stopIfTrue="1">
      <formula>MAX($J$15:$J$23)+0.5</formula>
      <formula>MAX($J$15:$J$23)+1.5</formula>
    </cfRule>
  </conditionalFormatting>
  <conditionalFormatting sqref="K15:K23">
    <cfRule type="cellIs" priority="28" dxfId="0" operator="between" stopIfTrue="1">
      <formula>MAX($K$15:$K$23)-0.5</formula>
      <formula>MAX($K$15:$K$23)+0.5</formula>
    </cfRule>
    <cfRule type="cellIs" priority="29" dxfId="1" operator="between" stopIfTrue="1">
      <formula>MAX($K$15:$K$23)-0.5</formula>
      <formula>MAX($K$15:$K$23)-1.5</formula>
    </cfRule>
    <cfRule type="cellIs" priority="30" dxfId="1" operator="between" stopIfTrue="1">
      <formula>MAX($K$15:$K$23)+0.5</formula>
      <formula>MAX($K$15:$K$23)+1.5</formula>
    </cfRule>
  </conditionalFormatting>
  <conditionalFormatting sqref="L15:L23">
    <cfRule type="cellIs" priority="31" dxfId="0" operator="between" stopIfTrue="1">
      <formula>MAX($L$15:$L$23)-0.5</formula>
      <formula>MAX($L$15:$L$23)+0.5</formula>
    </cfRule>
    <cfRule type="cellIs" priority="32" dxfId="1" operator="between" stopIfTrue="1">
      <formula>MAX($L$15:$L$23)-0.5</formula>
      <formula>MAX($L$15:$L$23)-1.5</formula>
    </cfRule>
    <cfRule type="cellIs" priority="33" dxfId="1" operator="between" stopIfTrue="1">
      <formula>MAX($L$15:$L$23+0.5)</formula>
      <formula>MAX($L$15:$L$23)+1.5</formula>
    </cfRule>
  </conditionalFormatting>
  <conditionalFormatting sqref="M15:M23">
    <cfRule type="cellIs" priority="34" dxfId="0" operator="between" stopIfTrue="1">
      <formula>MAX($M$15:$M$23)-0.5</formula>
      <formula>":$M$23)+0.5"</formula>
    </cfRule>
    <cfRule type="cellIs" priority="35" dxfId="1" operator="between" stopIfTrue="1">
      <formula>MAX($M$15:$M$23)-0.5</formula>
      <formula>MAX($M$15:$M$23)-1.5</formula>
    </cfRule>
    <cfRule type="cellIs" priority="36" dxfId="1" operator="between" stopIfTrue="1">
      <formula>MAX($M$15:$M$23)+0.5</formula>
      <formula>MAX($M$15:$M$23)+1.5</formula>
    </cfRule>
  </conditionalFormatting>
  <conditionalFormatting sqref="N15:N23">
    <cfRule type="cellIs" priority="37" dxfId="0" operator="between" stopIfTrue="1">
      <formula>MAX($N$15:$N$23)-0.5</formula>
      <formula>MAX($N$15:$N$23)+0.5</formula>
    </cfRule>
    <cfRule type="cellIs" priority="38" dxfId="1" operator="between" stopIfTrue="1">
      <formula>MAX($N$15:$N$23)-0.5</formula>
      <formula>MAX($N$15:$N$23)-1.5</formula>
    </cfRule>
    <cfRule type="cellIs" priority="39" dxfId="1" operator="between" stopIfTrue="1">
      <formula>MAX($N$15:$N$23)+0.5</formula>
      <formula>MAX($N$15:$N$23)+1.5</formula>
    </cfRule>
  </conditionalFormatting>
  <conditionalFormatting sqref="H15:H23">
    <cfRule type="cellIs" priority="40" dxfId="0" operator="between" stopIfTrue="1">
      <formula>MAX($H$15:$H$23)-0.5</formula>
      <formula>MAX($H$15:$H$23)+0.5</formula>
    </cfRule>
    <cfRule type="cellIs" priority="41" dxfId="1" operator="between" stopIfTrue="1">
      <formula>MAX($H$15:$H$23)-1.5</formula>
      <formula>MAX($H$15:$H$23)-0.5</formula>
    </cfRule>
    <cfRule type="cellIs" priority="42" dxfId="1" operator="between" stopIfTrue="1">
      <formula>MAX($H$15:$H$23)+0.5</formula>
      <formula>MAX($H$15:$H$23)+1.5</formula>
    </cfRule>
  </conditionalFormatting>
  <hyperlinks>
    <hyperlink ref="E5:G5" location="'Canola (hybrid) MR'!A1" display="Go to Marginal Revenue Chart"/>
    <hyperlink ref="H5:J5" location="'Canola (hybrid) Fertilizer'!A1" display="Go to Fertilizer Price as variable"/>
    <hyperlink ref="L5" location="'Data Entry'!A1" display="Return to Data Entry"/>
    <hyperlink ref="G33" location="'Wheat crop price'!D47" display="Go to Total Net Return"/>
    <hyperlink ref="G33:G35" location="'Canola (hybrid) Crop'!D1" display="Return to Net Return"/>
    <hyperlink ref="G8" location="'Wheat crop price'!D47" display="Go to Total Net Return"/>
    <hyperlink ref="G8:G10" location="'Canola (hybrid) Crop'!D53" display="Go to Total Net Return Below"/>
  </hyperlink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8"/>
  <sheetViews>
    <sheetView showGridLines="0" workbookViewId="0" topLeftCell="A1">
      <selection activeCell="G21" sqref="G21"/>
    </sheetView>
  </sheetViews>
  <sheetFormatPr defaultColWidth="9.140625" defaultRowHeight="12.75"/>
  <cols>
    <col min="1" max="1" width="1.57421875" style="10" customWidth="1"/>
    <col min="2" max="2" width="17.140625" style="10" customWidth="1"/>
    <col min="3" max="3" width="9.421875" style="10" bestFit="1" customWidth="1"/>
    <col min="4" max="4" width="11.140625" style="10" customWidth="1"/>
    <col min="5" max="5" width="9.421875" style="10" bestFit="1" customWidth="1"/>
    <col min="6" max="6" width="12.00390625" style="10" customWidth="1"/>
    <col min="7" max="9" width="9.57421875" style="10" customWidth="1"/>
    <col min="10" max="10" width="10.00390625" style="10" customWidth="1"/>
    <col min="11" max="13" width="9.57421875" style="10" customWidth="1"/>
    <col min="14" max="14" width="15.8515625" style="10" customWidth="1"/>
    <col min="15" max="16384" width="9.140625" style="10" customWidth="1"/>
  </cols>
  <sheetData>
    <row r="1" spans="2:9" ht="6" customHeight="1" thickBot="1">
      <c r="B1" s="11"/>
      <c r="C1" s="11"/>
      <c r="D1" s="11"/>
      <c r="E1" s="11"/>
      <c r="F1" s="11"/>
      <c r="G1" s="11"/>
      <c r="H1" s="11"/>
      <c r="I1" s="11"/>
    </row>
    <row r="2" spans="1:13" ht="20.25">
      <c r="A2" s="11"/>
      <c r="B2" s="254" t="s">
        <v>40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6"/>
    </row>
    <row r="3" spans="1:13" ht="20.25">
      <c r="A3" s="11"/>
      <c r="B3" s="257" t="s">
        <v>47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9"/>
    </row>
    <row r="4" spans="1:14" ht="6.75" customHeight="1">
      <c r="A4" s="11"/>
      <c r="B4" s="13"/>
      <c r="C4" s="14"/>
      <c r="D4" s="14"/>
      <c r="E4" s="14"/>
      <c r="F4" s="14"/>
      <c r="G4" s="14"/>
      <c r="H4" s="14"/>
      <c r="I4" s="14"/>
      <c r="J4" s="12"/>
      <c r="K4" s="12"/>
      <c r="L4" s="12"/>
      <c r="M4" s="15"/>
      <c r="N4" s="158"/>
    </row>
    <row r="5" spans="2:13" ht="12.75">
      <c r="B5" s="198"/>
      <c r="C5" s="199"/>
      <c r="D5" s="279" t="s">
        <v>76</v>
      </c>
      <c r="E5" s="280"/>
      <c r="F5" s="280"/>
      <c r="G5" s="279" t="s">
        <v>121</v>
      </c>
      <c r="H5" s="280"/>
      <c r="I5" s="280"/>
      <c r="J5" s="280"/>
      <c r="K5" s="261" t="s">
        <v>96</v>
      </c>
      <c r="L5" s="260"/>
      <c r="M5" s="262"/>
    </row>
    <row r="6" spans="1:13" ht="4.5" customHeight="1" thickBot="1">
      <c r="A6" s="16"/>
      <c r="B6" s="17"/>
      <c r="C6" s="18"/>
      <c r="D6" s="18"/>
      <c r="E6" s="18"/>
      <c r="F6" s="18"/>
      <c r="G6" s="18"/>
      <c r="H6" s="18"/>
      <c r="I6" s="18"/>
      <c r="J6" s="12"/>
      <c r="K6" s="12"/>
      <c r="L6" s="12"/>
      <c r="M6" s="15"/>
    </row>
    <row r="7" spans="1:13" ht="15.75" customHeight="1" thickBot="1">
      <c r="A7" s="16"/>
      <c r="B7" s="234" t="s">
        <v>39</v>
      </c>
      <c r="C7" s="235"/>
      <c r="E7" s="18"/>
      <c r="F7" s="18"/>
      <c r="G7" s="18"/>
      <c r="H7" s="19"/>
      <c r="I7" s="18"/>
      <c r="J7" s="19"/>
      <c r="K7" s="12"/>
      <c r="L7" s="12"/>
      <c r="M7" s="15"/>
    </row>
    <row r="8" spans="1:13" ht="15" customHeight="1">
      <c r="A8" s="16"/>
      <c r="B8" s="87" t="s">
        <v>1</v>
      </c>
      <c r="C8" s="21" t="str">
        <f>'Data Entry'!C7</f>
        <v>UREA</v>
      </c>
      <c r="D8" s="18"/>
      <c r="E8" s="62"/>
      <c r="F8" s="63"/>
      <c r="G8" s="63"/>
      <c r="H8" s="236" t="s">
        <v>17</v>
      </c>
      <c r="I8" s="237"/>
      <c r="J8" s="237"/>
      <c r="K8" s="237"/>
      <c r="L8" s="237"/>
      <c r="M8" s="64"/>
    </row>
    <row r="9" spans="1:13" ht="15">
      <c r="A9" s="16"/>
      <c r="B9" s="20" t="s">
        <v>3</v>
      </c>
      <c r="C9" s="59">
        <f>'Data Entry'!C8</f>
        <v>700</v>
      </c>
      <c r="D9" s="18"/>
      <c r="E9" s="65"/>
      <c r="F9" s="66"/>
      <c r="G9" s="66"/>
      <c r="H9" s="67"/>
      <c r="I9" s="66"/>
      <c r="J9" s="67"/>
      <c r="K9" s="68"/>
      <c r="L9" s="68"/>
      <c r="M9" s="69"/>
    </row>
    <row r="10" spans="1:13" ht="15">
      <c r="A10" s="16"/>
      <c r="B10" s="20" t="s">
        <v>4</v>
      </c>
      <c r="C10" s="25">
        <f>'Data Entry'!C9</f>
        <v>46</v>
      </c>
      <c r="D10" s="18"/>
      <c r="E10" s="65"/>
      <c r="F10" s="66"/>
      <c r="G10" s="26">
        <f>J10-C14*3</f>
        <v>3.5</v>
      </c>
      <c r="H10" s="26">
        <f>J10-C14*2</f>
        <v>4</v>
      </c>
      <c r="I10" s="26">
        <f>J10-C14</f>
        <v>4.5</v>
      </c>
      <c r="J10" s="27">
        <f>'Data Entry'!F14</f>
        <v>5</v>
      </c>
      <c r="K10" s="26">
        <f>J10+C14</f>
        <v>5.5</v>
      </c>
      <c r="L10" s="26">
        <f>J10+C14*2</f>
        <v>6</v>
      </c>
      <c r="M10" s="28">
        <f>J10+C14*3</f>
        <v>6.5</v>
      </c>
    </row>
    <row r="11" spans="1:13" ht="15">
      <c r="A11" s="16"/>
      <c r="B11" s="20" t="s">
        <v>5</v>
      </c>
      <c r="C11" s="61">
        <f>(C9/((C10/100)*2200))</f>
        <v>0.691699604743083</v>
      </c>
      <c r="D11" s="18"/>
      <c r="E11" s="65"/>
      <c r="F11" s="29"/>
      <c r="G11" s="66"/>
      <c r="H11" s="66"/>
      <c r="I11" s="66"/>
      <c r="J11" s="68"/>
      <c r="K11" s="68"/>
      <c r="L11" s="68"/>
      <c r="M11" s="69"/>
    </row>
    <row r="12" spans="1:13" ht="15">
      <c r="A12" s="16"/>
      <c r="B12" s="30" t="s">
        <v>20</v>
      </c>
      <c r="C12" s="106">
        <f>'Data Entry'!C11</f>
        <v>10</v>
      </c>
      <c r="D12" s="18"/>
      <c r="E12" s="71"/>
      <c r="F12" s="29"/>
      <c r="G12" s="274" t="s">
        <v>111</v>
      </c>
      <c r="H12" s="274"/>
      <c r="I12" s="274"/>
      <c r="J12" s="274"/>
      <c r="K12" s="274"/>
      <c r="L12" s="274"/>
      <c r="M12" s="275"/>
    </row>
    <row r="13" spans="1:13" ht="15.75" thickBot="1">
      <c r="A13" s="16"/>
      <c r="B13" s="33" t="s">
        <v>106</v>
      </c>
      <c r="C13" s="46"/>
      <c r="D13" s="18"/>
      <c r="E13" s="72" t="s">
        <v>9</v>
      </c>
      <c r="F13" s="36" t="s">
        <v>41</v>
      </c>
      <c r="G13" s="219" t="s">
        <v>42</v>
      </c>
      <c r="H13" s="219"/>
      <c r="I13" s="219"/>
      <c r="J13" s="219"/>
      <c r="K13" s="219"/>
      <c r="L13" s="219"/>
      <c r="M13" s="212"/>
    </row>
    <row r="14" spans="1:13" ht="15">
      <c r="A14" s="16"/>
      <c r="B14" s="37" t="s">
        <v>108</v>
      </c>
      <c r="C14" s="61">
        <f>'Data Entry'!C13</f>
        <v>0.5</v>
      </c>
      <c r="D14" s="18"/>
      <c r="E14" s="74" t="s">
        <v>11</v>
      </c>
      <c r="F14" s="75" t="s">
        <v>12</v>
      </c>
      <c r="G14" s="41"/>
      <c r="H14" s="41"/>
      <c r="I14" s="41"/>
      <c r="J14" s="41"/>
      <c r="K14" s="41"/>
      <c r="L14" s="41"/>
      <c r="M14" s="112"/>
    </row>
    <row r="15" spans="1:13" ht="15">
      <c r="A15" s="16"/>
      <c r="B15" s="43" t="s">
        <v>28</v>
      </c>
      <c r="C15" s="46"/>
      <c r="D15" s="18"/>
      <c r="E15" s="190">
        <f>IF((E19-4*$C$12)&lt;0,0,(E19-4*$C$12))</f>
        <v>50</v>
      </c>
      <c r="F15" s="126">
        <f>IF((((-0.0015*(E15+$C$16)^2+0.4902*(E15+$C$16))-(-0.0015*($C$16)^2+0.4902*($C$16)))-((-0.0015*((E15-$C$12)+$C$16)^2+0.4902*((E15-$C$12)+$C$16))-(-0.0015*($C$16)^2+0.4902*($C$16))))&lt;0,0,((-0.0015*(E15+$C$16)^2+0.4902*(E15+$C$16))-(-0.0015*($C$16)^2+0.4902*($C$16)))-((-0.0015*((E15-$C$12)+$C$16)^2+0.4902*((E15-$C$12)+$C$16))-(-0.0015*($C$16)^2+0.4902*($C$16))))</f>
        <v>2.652000000000001</v>
      </c>
      <c r="G15" s="201">
        <f aca="true" t="shared" si="0" ref="G15:G23">($F15*G$10)/($C$12*$C$11)</f>
        <v>1.3419120000000004</v>
      </c>
      <c r="H15" s="201">
        <f aca="true" t="shared" si="1" ref="H15:M23">($F15*H$10)/($C$12*$C$11)</f>
        <v>1.533613714285715</v>
      </c>
      <c r="I15" s="201">
        <f t="shared" si="1"/>
        <v>1.7253154285714292</v>
      </c>
      <c r="J15" s="201">
        <f t="shared" si="1"/>
        <v>1.9170171428571436</v>
      </c>
      <c r="K15" s="201">
        <f t="shared" si="1"/>
        <v>2.108718857142858</v>
      </c>
      <c r="L15" s="201">
        <f t="shared" si="1"/>
        <v>2.3004205714285724</v>
      </c>
      <c r="M15" s="202">
        <f t="shared" si="1"/>
        <v>2.4921222857142866</v>
      </c>
    </row>
    <row r="16" spans="1:13" ht="15">
      <c r="A16" s="16"/>
      <c r="B16" s="37" t="s">
        <v>29</v>
      </c>
      <c r="C16" s="107">
        <f>'Data Entry'!C15</f>
        <v>30</v>
      </c>
      <c r="D16" s="18"/>
      <c r="E16" s="190">
        <f>IF((E20-4*$C$12)&lt;0,0,(E20-4*$C$12))</f>
        <v>60</v>
      </c>
      <c r="F16" s="126">
        <f>IF((((-0.0015*(E16+$C$16)^2+0.4902*(E16+$C$16))-(-0.0015*($C$16)^2+0.4902*($C$16)))-((-0.0015*(E15+$C$16)^2+0.4902*(E15+$C$16))-(-0.0015*($C$16)^2+0.4902*($C$16))))&lt;0,0,((-0.0015*(E16+$C$16)^2+0.4902*(E16+$C$16))-(-0.0015*($C$16)^2+0.4902*($C$16)))-((-0.0015*(E15+$C$16)^2+0.4902*(E15+$C$16))-(-0.0015*($C$16)^2+0.4902*($C$16))))</f>
        <v>2.352000000000004</v>
      </c>
      <c r="G16" s="203">
        <f t="shared" si="0"/>
        <v>1.190112000000002</v>
      </c>
      <c r="H16" s="201">
        <f t="shared" si="1"/>
        <v>1.3601280000000022</v>
      </c>
      <c r="I16" s="201">
        <f t="shared" si="1"/>
        <v>1.5301440000000026</v>
      </c>
      <c r="J16" s="201">
        <f t="shared" si="1"/>
        <v>1.7001600000000028</v>
      </c>
      <c r="K16" s="201">
        <f t="shared" si="1"/>
        <v>1.8701760000000032</v>
      </c>
      <c r="L16" s="201">
        <f t="shared" si="1"/>
        <v>2.0401920000000033</v>
      </c>
      <c r="M16" s="202">
        <f t="shared" si="1"/>
        <v>2.2102080000000037</v>
      </c>
    </row>
    <row r="17" spans="1:13" ht="15">
      <c r="A17" s="16"/>
      <c r="B17" s="43" t="s">
        <v>30</v>
      </c>
      <c r="C17" s="46"/>
      <c r="D17" s="18"/>
      <c r="E17" s="190">
        <f>IF((E21-4*$C$12)&lt;0,0,(E21-4*$C$12))</f>
        <v>70</v>
      </c>
      <c r="F17" s="126">
        <f aca="true" t="shared" si="2" ref="F17:F23">IF((((-0.0015*(E17+$C$16)^2+0.4902*(E17+$C$16))-(-0.0015*($C$16)^2+0.4902*($C$16)))-((-0.0015*(E16+$C$16)^2+0.4902*(E16+$C$16))-(-0.0015*($C$16)^2+0.4902*($C$16))))&lt;0,0,((-0.0015*(E17+$C$16)^2+0.4902*(E17+$C$16))-(-0.0015*($C$16)^2+0.4902*($C$16)))-((-0.0015*(E16+$C$16)^2+0.4902*(E16+$C$16))-(-0.0015*($C$16)^2+0.4902*($C$16))))</f>
        <v>2.0519999999999996</v>
      </c>
      <c r="G17" s="201">
        <f t="shared" si="0"/>
        <v>1.038312</v>
      </c>
      <c r="H17" s="201">
        <f t="shared" si="1"/>
        <v>1.1866422857142855</v>
      </c>
      <c r="I17" s="201">
        <f t="shared" si="1"/>
        <v>1.3349725714285712</v>
      </c>
      <c r="J17" s="201">
        <f t="shared" si="1"/>
        <v>1.4833028571428568</v>
      </c>
      <c r="K17" s="201">
        <f t="shared" si="1"/>
        <v>1.6316331428571424</v>
      </c>
      <c r="L17" s="201">
        <f t="shared" si="1"/>
        <v>1.7799634285714283</v>
      </c>
      <c r="M17" s="202">
        <f t="shared" si="1"/>
        <v>1.928293714285714</v>
      </c>
    </row>
    <row r="18" spans="1:13" ht="15.75" thickBot="1">
      <c r="A18" s="16"/>
      <c r="B18" s="17"/>
      <c r="C18" s="18"/>
      <c r="D18" s="18"/>
      <c r="E18" s="193">
        <f>IF((E22-4*$C$12)&lt;0,0,(E22-4*$C$12))</f>
        <v>80</v>
      </c>
      <c r="F18" s="126">
        <f t="shared" si="2"/>
        <v>1.7520000000000024</v>
      </c>
      <c r="G18" s="201">
        <f t="shared" si="0"/>
        <v>0.8865120000000012</v>
      </c>
      <c r="H18" s="201">
        <f t="shared" si="1"/>
        <v>1.0131565714285728</v>
      </c>
      <c r="I18" s="201">
        <f t="shared" si="1"/>
        <v>1.1398011428571444</v>
      </c>
      <c r="J18" s="201">
        <f t="shared" si="1"/>
        <v>1.266445714285716</v>
      </c>
      <c r="K18" s="201">
        <f t="shared" si="1"/>
        <v>1.3930902857142877</v>
      </c>
      <c r="L18" s="201">
        <f t="shared" si="1"/>
        <v>1.5197348571428593</v>
      </c>
      <c r="M18" s="202">
        <f t="shared" si="1"/>
        <v>1.6463794285714308</v>
      </c>
    </row>
    <row r="19" spans="1:13" ht="15.75" thickBot="1">
      <c r="A19" s="16"/>
      <c r="B19" s="47"/>
      <c r="C19" s="48"/>
      <c r="D19" s="49" t="s">
        <v>13</v>
      </c>
      <c r="E19" s="50">
        <f>'Data Entry'!F9</f>
        <v>90</v>
      </c>
      <c r="F19" s="192">
        <f t="shared" si="2"/>
        <v>1.4519999999999982</v>
      </c>
      <c r="G19" s="201">
        <f t="shared" si="0"/>
        <v>0.734711999999999</v>
      </c>
      <c r="H19" s="201">
        <f t="shared" si="1"/>
        <v>0.839670857142856</v>
      </c>
      <c r="I19" s="201">
        <f t="shared" si="1"/>
        <v>0.9446297142857131</v>
      </c>
      <c r="J19" s="201">
        <f t="shared" si="1"/>
        <v>1.0495885714285702</v>
      </c>
      <c r="K19" s="201">
        <f t="shared" si="1"/>
        <v>1.1545474285714272</v>
      </c>
      <c r="L19" s="201">
        <f t="shared" si="1"/>
        <v>1.259506285714284</v>
      </c>
      <c r="M19" s="202">
        <f t="shared" si="1"/>
        <v>1.364465142857141</v>
      </c>
    </row>
    <row r="20" spans="1:13" ht="15">
      <c r="A20" s="16"/>
      <c r="B20" s="17"/>
      <c r="C20" s="18"/>
      <c r="D20" s="18"/>
      <c r="E20" s="194">
        <f>E19+C12</f>
        <v>100</v>
      </c>
      <c r="F20" s="126">
        <f t="shared" si="2"/>
        <v>1.152000000000001</v>
      </c>
      <c r="G20" s="201">
        <f t="shared" si="0"/>
        <v>0.5829120000000005</v>
      </c>
      <c r="H20" s="201">
        <f t="shared" si="1"/>
        <v>0.6661851428571435</v>
      </c>
      <c r="I20" s="201">
        <f t="shared" si="1"/>
        <v>0.7494582857142864</v>
      </c>
      <c r="J20" s="201">
        <f t="shared" si="1"/>
        <v>0.8327314285714293</v>
      </c>
      <c r="K20" s="201">
        <f t="shared" si="1"/>
        <v>0.9160045714285723</v>
      </c>
      <c r="L20" s="201">
        <f t="shared" si="1"/>
        <v>0.9992777142857152</v>
      </c>
      <c r="M20" s="202">
        <f t="shared" si="1"/>
        <v>1.0825508571428581</v>
      </c>
    </row>
    <row r="21" spans="1:13" ht="15">
      <c r="A21" s="16"/>
      <c r="B21" s="17"/>
      <c r="C21" s="52"/>
      <c r="D21" s="18"/>
      <c r="E21" s="190">
        <f>E19+2*C12</f>
        <v>110</v>
      </c>
      <c r="F21" s="126">
        <f t="shared" si="2"/>
        <v>0.8519999999999897</v>
      </c>
      <c r="G21" s="201">
        <f t="shared" si="0"/>
        <v>0.4311119999999948</v>
      </c>
      <c r="H21" s="201">
        <f t="shared" si="1"/>
        <v>0.49269942857142257</v>
      </c>
      <c r="I21" s="201">
        <f t="shared" si="1"/>
        <v>0.5542868571428504</v>
      </c>
      <c r="J21" s="201">
        <f t="shared" si="1"/>
        <v>0.6158742857142783</v>
      </c>
      <c r="K21" s="201">
        <f t="shared" si="1"/>
        <v>0.677461714285706</v>
      </c>
      <c r="L21" s="201">
        <f t="shared" si="1"/>
        <v>0.7390491428571339</v>
      </c>
      <c r="M21" s="202">
        <f t="shared" si="1"/>
        <v>0.8006365714285617</v>
      </c>
    </row>
    <row r="22" spans="1:13" ht="15">
      <c r="A22" s="16"/>
      <c r="B22" s="17"/>
      <c r="C22" s="18"/>
      <c r="D22" s="18"/>
      <c r="E22" s="190">
        <f>E19+3*C12</f>
        <v>120</v>
      </c>
      <c r="F22" s="126">
        <f t="shared" si="2"/>
        <v>0.5520000000000067</v>
      </c>
      <c r="G22" s="201">
        <f t="shared" si="0"/>
        <v>0.2793120000000034</v>
      </c>
      <c r="H22" s="201">
        <f t="shared" si="1"/>
        <v>0.31921371428571815</v>
      </c>
      <c r="I22" s="201">
        <f t="shared" si="1"/>
        <v>0.3591154285714329</v>
      </c>
      <c r="J22" s="201">
        <f t="shared" si="1"/>
        <v>0.3990171428571477</v>
      </c>
      <c r="K22" s="201">
        <f t="shared" si="1"/>
        <v>0.4389188571428625</v>
      </c>
      <c r="L22" s="201">
        <f t="shared" si="1"/>
        <v>0.47882057142857726</v>
      </c>
      <c r="M22" s="202">
        <f t="shared" si="1"/>
        <v>0.518722285714292</v>
      </c>
    </row>
    <row r="23" spans="1:13" ht="15">
      <c r="A23" s="16"/>
      <c r="B23" s="17"/>
      <c r="C23" s="18"/>
      <c r="D23" s="18"/>
      <c r="E23" s="190">
        <f>E19+4*C12</f>
        <v>130</v>
      </c>
      <c r="F23" s="126">
        <f t="shared" si="2"/>
        <v>0.25200000000000244</v>
      </c>
      <c r="G23" s="201">
        <f t="shared" si="0"/>
        <v>0.12751200000000124</v>
      </c>
      <c r="H23" s="201">
        <f t="shared" si="1"/>
        <v>0.1457280000000014</v>
      </c>
      <c r="I23" s="201">
        <f t="shared" si="1"/>
        <v>0.1639440000000016</v>
      </c>
      <c r="J23" s="201">
        <f t="shared" si="1"/>
        <v>0.18216000000000176</v>
      </c>
      <c r="K23" s="201">
        <f t="shared" si="1"/>
        <v>0.20037600000000194</v>
      </c>
      <c r="L23" s="201">
        <f t="shared" si="1"/>
        <v>0.21859200000000212</v>
      </c>
      <c r="M23" s="202">
        <f t="shared" si="1"/>
        <v>0.2368080000000023</v>
      </c>
    </row>
    <row r="24" spans="1:13" ht="13.5" customHeight="1">
      <c r="A24" s="16"/>
      <c r="B24" s="17"/>
      <c r="C24" s="18"/>
      <c r="D24" s="18"/>
      <c r="E24" s="78" t="s">
        <v>86</v>
      </c>
      <c r="F24" s="121"/>
      <c r="G24" s="121"/>
      <c r="H24" s="121"/>
      <c r="I24" s="12"/>
      <c r="J24" s="80"/>
      <c r="K24" s="195">
        <f>C12</f>
        <v>10</v>
      </c>
      <c r="L24" s="77" t="s">
        <v>30</v>
      </c>
      <c r="M24" s="122"/>
    </row>
    <row r="25" spans="1:13" ht="9.75" customHeight="1">
      <c r="A25" s="16"/>
      <c r="B25" s="17"/>
      <c r="C25" s="18"/>
      <c r="D25" s="18"/>
      <c r="E25" s="78" t="s">
        <v>107</v>
      </c>
      <c r="F25" s="121"/>
      <c r="G25" s="121"/>
      <c r="H25" s="121"/>
      <c r="I25" s="12"/>
      <c r="J25" s="80"/>
      <c r="K25" s="80"/>
      <c r="L25" s="80"/>
      <c r="M25" s="122"/>
    </row>
    <row r="26" spans="1:13" ht="9.75" customHeight="1">
      <c r="A26" s="16"/>
      <c r="B26" s="17"/>
      <c r="C26" s="18"/>
      <c r="D26" s="18"/>
      <c r="E26" s="200" t="s">
        <v>115</v>
      </c>
      <c r="F26" s="12"/>
      <c r="G26" s="121"/>
      <c r="H26" s="121"/>
      <c r="I26" s="121"/>
      <c r="J26" s="121"/>
      <c r="K26" s="121"/>
      <c r="L26" s="121"/>
      <c r="M26" s="122"/>
    </row>
    <row r="27" spans="1:13" ht="9.75" customHeight="1" thickBot="1">
      <c r="A27" s="16"/>
      <c r="B27" s="17"/>
      <c r="C27" s="18"/>
      <c r="D27" s="18"/>
      <c r="E27" s="124"/>
      <c r="F27" s="123"/>
      <c r="G27" s="123"/>
      <c r="H27" s="123"/>
      <c r="I27" s="151"/>
      <c r="J27" s="119"/>
      <c r="K27" s="119"/>
      <c r="L27" s="119"/>
      <c r="M27" s="120"/>
    </row>
    <row r="28" spans="2:13" ht="11.25" customHeight="1" thickBot="1">
      <c r="B28" s="215"/>
      <c r="C28" s="216"/>
      <c r="D28" s="216"/>
      <c r="E28" s="216"/>
      <c r="F28" s="216"/>
      <c r="G28" s="216"/>
      <c r="H28" s="216"/>
      <c r="I28" s="216"/>
      <c r="J28" s="55"/>
      <c r="K28" s="55"/>
      <c r="L28" s="55"/>
      <c r="M28" s="56"/>
    </row>
  </sheetData>
  <sheetProtection password="CE5A" sheet="1" objects="1" scenarios="1"/>
  <mergeCells count="10">
    <mergeCell ref="B28:I28"/>
    <mergeCell ref="B2:M2"/>
    <mergeCell ref="B3:M3"/>
    <mergeCell ref="B7:C7"/>
    <mergeCell ref="H8:L8"/>
    <mergeCell ref="G12:M12"/>
    <mergeCell ref="G13:M13"/>
    <mergeCell ref="K5:M5"/>
    <mergeCell ref="D5:F5"/>
    <mergeCell ref="G5:J5"/>
  </mergeCells>
  <conditionalFormatting sqref="G15:M23">
    <cfRule type="cellIs" priority="1" dxfId="2" operator="between" stopIfTrue="1">
      <formula>1.25</formula>
      <formula>1.5</formula>
    </cfRule>
  </conditionalFormatting>
  <hyperlinks>
    <hyperlink ref="G5" location="'Wheat (Moist) Fertilizer'!A1" display="Go to Fertilizer Price as a variable"/>
    <hyperlink ref="D5" location="'Wheat (Moist) Crop'!A1" display="Return to Wheat (Moist) as variable"/>
    <hyperlink ref="K5" location="'Data Entry'!A1" display="Return to Data Entry"/>
  </hyperlink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8"/>
  <sheetViews>
    <sheetView showGridLines="0" workbookViewId="0" topLeftCell="A1">
      <selection activeCell="I22" sqref="I22"/>
    </sheetView>
  </sheetViews>
  <sheetFormatPr defaultColWidth="9.140625" defaultRowHeight="12.75"/>
  <cols>
    <col min="1" max="1" width="1.57421875" style="10" customWidth="1"/>
    <col min="2" max="2" width="17.140625" style="10" customWidth="1"/>
    <col min="3" max="3" width="9.140625" style="10" customWidth="1"/>
    <col min="4" max="4" width="11.140625" style="10" customWidth="1"/>
    <col min="5" max="5" width="9.140625" style="10" customWidth="1"/>
    <col min="6" max="6" width="10.28125" style="10" customWidth="1"/>
    <col min="7" max="13" width="9.140625" style="10" customWidth="1"/>
    <col min="14" max="14" width="28.421875" style="10" customWidth="1"/>
    <col min="15" max="16384" width="9.140625" style="10" customWidth="1"/>
  </cols>
  <sheetData>
    <row r="1" spans="2:9" ht="6" customHeight="1" thickBot="1">
      <c r="B1" s="11"/>
      <c r="C1" s="11"/>
      <c r="D1" s="11"/>
      <c r="E1" s="11"/>
      <c r="F1" s="11"/>
      <c r="G1" s="11"/>
      <c r="H1" s="11"/>
      <c r="I1" s="11"/>
    </row>
    <row r="2" spans="1:13" ht="20.25">
      <c r="A2" s="11"/>
      <c r="B2" s="254" t="s">
        <v>40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6"/>
    </row>
    <row r="3" spans="1:13" ht="20.25">
      <c r="A3" s="11"/>
      <c r="B3" s="257" t="s">
        <v>48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9"/>
    </row>
    <row r="4" spans="1:14" ht="6.75" customHeight="1">
      <c r="A4" s="11"/>
      <c r="B4" s="13"/>
      <c r="C4" s="14"/>
      <c r="D4" s="14"/>
      <c r="E4" s="14"/>
      <c r="F4" s="14"/>
      <c r="G4" s="14"/>
      <c r="H4" s="14"/>
      <c r="I4" s="14"/>
      <c r="J4" s="12"/>
      <c r="K4" s="12"/>
      <c r="L4" s="12"/>
      <c r="M4" s="15"/>
      <c r="N4" s="158"/>
    </row>
    <row r="5" spans="2:13" ht="12.75">
      <c r="B5" s="198"/>
      <c r="C5" s="199"/>
      <c r="D5" s="279" t="s">
        <v>77</v>
      </c>
      <c r="E5" s="280"/>
      <c r="F5" s="280"/>
      <c r="G5" s="279" t="s">
        <v>119</v>
      </c>
      <c r="H5" s="280"/>
      <c r="I5" s="280"/>
      <c r="J5" s="280"/>
      <c r="K5" s="261" t="s">
        <v>96</v>
      </c>
      <c r="L5" s="280"/>
      <c r="M5" s="282"/>
    </row>
    <row r="6" spans="1:14" ht="4.5" customHeight="1" thickBot="1">
      <c r="A6" s="16"/>
      <c r="B6" s="17"/>
      <c r="C6" s="18"/>
      <c r="D6" s="18"/>
      <c r="E6" s="18"/>
      <c r="F6" s="18"/>
      <c r="G6" s="18"/>
      <c r="H6" s="18"/>
      <c r="I6" s="18"/>
      <c r="J6" s="12"/>
      <c r="K6" s="12"/>
      <c r="L6" s="12"/>
      <c r="M6" s="15"/>
      <c r="N6" s="158"/>
    </row>
    <row r="7" spans="1:13" ht="15.75" customHeight="1" thickBot="1">
      <c r="A7" s="16"/>
      <c r="B7" s="234" t="s">
        <v>39</v>
      </c>
      <c r="C7" s="235"/>
      <c r="E7" s="18"/>
      <c r="F7" s="18"/>
      <c r="G7" s="18"/>
      <c r="H7" s="19"/>
      <c r="I7" s="18"/>
      <c r="J7" s="19"/>
      <c r="K7" s="12"/>
      <c r="L7" s="12"/>
      <c r="M7" s="15"/>
    </row>
    <row r="8" spans="1:13" ht="15" customHeight="1">
      <c r="A8" s="16"/>
      <c r="B8" s="87" t="s">
        <v>1</v>
      </c>
      <c r="C8" s="21" t="str">
        <f>'Data Entry'!C7</f>
        <v>UREA</v>
      </c>
      <c r="D8" s="18"/>
      <c r="E8" s="22"/>
      <c r="F8" s="23"/>
      <c r="G8" s="23"/>
      <c r="H8" s="266" t="s">
        <v>17</v>
      </c>
      <c r="I8" s="267"/>
      <c r="J8" s="267"/>
      <c r="K8" s="267"/>
      <c r="L8" s="267"/>
      <c r="M8" s="24"/>
    </row>
    <row r="9" spans="1:13" ht="15">
      <c r="A9" s="16"/>
      <c r="B9" s="20" t="s">
        <v>3</v>
      </c>
      <c r="C9" s="59">
        <f>'Data Entry'!C8</f>
        <v>700</v>
      </c>
      <c r="D9" s="18"/>
      <c r="E9" s="17"/>
      <c r="F9" s="18"/>
      <c r="G9" s="18"/>
      <c r="H9" s="19"/>
      <c r="I9" s="18"/>
      <c r="J9" s="19"/>
      <c r="K9" s="12"/>
      <c r="L9" s="12"/>
      <c r="M9" s="15"/>
    </row>
    <row r="10" spans="1:13" ht="15">
      <c r="A10" s="16"/>
      <c r="B10" s="20" t="s">
        <v>4</v>
      </c>
      <c r="C10" s="25">
        <f>'Data Entry'!C9</f>
        <v>46</v>
      </c>
      <c r="D10" s="18"/>
      <c r="E10" s="17"/>
      <c r="F10" s="18"/>
      <c r="G10" s="26">
        <f>J10-C14*3</f>
        <v>3.5</v>
      </c>
      <c r="H10" s="26">
        <f>J10-C14*2</f>
        <v>4</v>
      </c>
      <c r="I10" s="26">
        <f>J10-C14</f>
        <v>4.5</v>
      </c>
      <c r="J10" s="27">
        <f>'Data Entry'!F14</f>
        <v>5</v>
      </c>
      <c r="K10" s="26">
        <f>J10+C14</f>
        <v>5.5</v>
      </c>
      <c r="L10" s="26">
        <f>J10+C14*2</f>
        <v>6</v>
      </c>
      <c r="M10" s="28">
        <f>J10+C14*3</f>
        <v>6.5</v>
      </c>
    </row>
    <row r="11" spans="1:13" ht="15">
      <c r="A11" s="16"/>
      <c r="B11" s="20" t="s">
        <v>5</v>
      </c>
      <c r="C11" s="61">
        <f>(C9/((C10/100)*2200))</f>
        <v>0.691699604743083</v>
      </c>
      <c r="D11" s="18"/>
      <c r="E11" s="17"/>
      <c r="F11" s="29"/>
      <c r="G11" s="18"/>
      <c r="H11" s="18"/>
      <c r="I11" s="18"/>
      <c r="J11" s="12"/>
      <c r="K11" s="12"/>
      <c r="L11" s="12"/>
      <c r="M11" s="15"/>
    </row>
    <row r="12" spans="1:13" ht="15">
      <c r="A12" s="16"/>
      <c r="B12" s="30" t="s">
        <v>20</v>
      </c>
      <c r="C12" s="31">
        <f>'Data Entry'!C11</f>
        <v>10</v>
      </c>
      <c r="D12" s="18"/>
      <c r="E12" s="32"/>
      <c r="F12" s="29"/>
      <c r="G12" s="274" t="s">
        <v>111</v>
      </c>
      <c r="H12" s="274"/>
      <c r="I12" s="274"/>
      <c r="J12" s="274"/>
      <c r="K12" s="274"/>
      <c r="L12" s="274"/>
      <c r="M12" s="275"/>
    </row>
    <row r="13" spans="1:13" ht="15.75" thickBot="1">
      <c r="A13" s="16"/>
      <c r="B13" s="33" t="s">
        <v>106</v>
      </c>
      <c r="C13" s="34"/>
      <c r="D13" s="18"/>
      <c r="E13" s="35" t="s">
        <v>9</v>
      </c>
      <c r="F13" s="36" t="s">
        <v>41</v>
      </c>
      <c r="G13" s="219" t="s">
        <v>42</v>
      </c>
      <c r="H13" s="219"/>
      <c r="I13" s="219"/>
      <c r="J13" s="219"/>
      <c r="K13" s="219"/>
      <c r="L13" s="219"/>
      <c r="M13" s="212"/>
    </row>
    <row r="14" spans="1:13" ht="15">
      <c r="A14" s="16"/>
      <c r="B14" s="37" t="s">
        <v>108</v>
      </c>
      <c r="C14" s="57">
        <f>'Data Entry'!C13</f>
        <v>0.5</v>
      </c>
      <c r="D14" s="18"/>
      <c r="E14" s="39" t="s">
        <v>11</v>
      </c>
      <c r="F14" s="40" t="s">
        <v>12</v>
      </c>
      <c r="G14" s="41"/>
      <c r="H14" s="41"/>
      <c r="I14" s="41"/>
      <c r="J14" s="41"/>
      <c r="K14" s="41"/>
      <c r="L14" s="41"/>
      <c r="M14" s="112"/>
    </row>
    <row r="15" spans="1:13" ht="15">
      <c r="A15" s="16"/>
      <c r="B15" s="43" t="s">
        <v>28</v>
      </c>
      <c r="C15" s="34"/>
      <c r="D15" s="18"/>
      <c r="E15" s="190">
        <f>IF((E19-4*$C$12)&lt;0,0,(E19-4*$C$12))</f>
        <v>30</v>
      </c>
      <c r="F15" s="126">
        <f>IF((((-0.0013*(E15+$C$16)^2+0.4159*(E15+$C$16))-(-0.0013*($C$16)^2+0.4159*($C$16)))-((-0.0013*((E15-$C$12)+$C$16)^2+0.4159*((E15-$C$12)+$C$16))-(-0.0013*($C$16)^2+0.4159*($C$16))))&lt;0,0,((-0.0013*(E15+$C$16)^2+0.4159*(E15+$C$16))-(-0.0013*($C$16)^2+0.4159*($C$16)))-((-0.0013*((E15-$C$12)+$C$16)^2+0.4159*((E15-$C$12)+$C$16))-(-0.0013*($C$16)^2+0.4159*($C$16))))</f>
        <v>2.7290000000000028</v>
      </c>
      <c r="G15" s="201">
        <f aca="true" t="shared" si="0" ref="G15:G23">($F15*G$10)/($C$12*$C$11)</f>
        <v>1.3808740000000015</v>
      </c>
      <c r="H15" s="201">
        <f aca="true" t="shared" si="1" ref="H15:M23">($F15*H$10)/($C$12*$C$11)</f>
        <v>1.578141714285716</v>
      </c>
      <c r="I15" s="201">
        <f t="shared" si="1"/>
        <v>1.7754094285714304</v>
      </c>
      <c r="J15" s="201">
        <f t="shared" si="1"/>
        <v>1.9726771428571448</v>
      </c>
      <c r="K15" s="201">
        <f t="shared" si="1"/>
        <v>2.1699448571428595</v>
      </c>
      <c r="L15" s="201">
        <f t="shared" si="1"/>
        <v>2.3672125714285737</v>
      </c>
      <c r="M15" s="202">
        <f t="shared" si="1"/>
        <v>2.564480285714288</v>
      </c>
    </row>
    <row r="16" spans="1:13" ht="15">
      <c r="A16" s="16"/>
      <c r="B16" s="37" t="s">
        <v>29</v>
      </c>
      <c r="C16" s="45">
        <f>'Data Entry'!C15</f>
        <v>30</v>
      </c>
      <c r="D16" s="18"/>
      <c r="E16" s="190">
        <f>IF((E20-4*$C$12)&lt;0,0,(E20-4*$C$12))</f>
        <v>40</v>
      </c>
      <c r="F16" s="126">
        <f>IF((((-0.0013*(E16+$C$16)^2+0.4159*(E16+$C$16))-(-0.0013*($C$16)^2+0.4159*($C$16)))-((-0.0013*(E15+$C$16)^2+0.4159*(E15+$C$16))-(-0.0013*($C$16)^2+0.4159*($C$16))))&lt;0,0,((-0.0013*(E16+$C$16)^2+0.4159*(E16+$C$16))-(-0.0013*($C$16)^2+0.4159*($C$16)))-((-0.0013*(E15+$C$16)^2+0.4159*(E15+$C$16))-(-0.0013*($C$16)^2+0.4159*($C$16))))</f>
        <v>2.4689999999999976</v>
      </c>
      <c r="G16" s="201">
        <f t="shared" si="0"/>
        <v>1.2493139999999987</v>
      </c>
      <c r="H16" s="201">
        <f t="shared" si="1"/>
        <v>1.4277874285714272</v>
      </c>
      <c r="I16" s="201">
        <f t="shared" si="1"/>
        <v>1.6062608571428556</v>
      </c>
      <c r="J16" s="201">
        <f t="shared" si="1"/>
        <v>1.784734285714284</v>
      </c>
      <c r="K16" s="201">
        <f t="shared" si="1"/>
        <v>1.9632077142857125</v>
      </c>
      <c r="L16" s="201">
        <f t="shared" si="1"/>
        <v>2.141681142857141</v>
      </c>
      <c r="M16" s="202">
        <f t="shared" si="1"/>
        <v>2.320154571428569</v>
      </c>
    </row>
    <row r="17" spans="1:13" ht="15">
      <c r="A17" s="16"/>
      <c r="B17" s="43" t="s">
        <v>30</v>
      </c>
      <c r="C17" s="46"/>
      <c r="D17" s="18"/>
      <c r="E17" s="190">
        <f>IF((E21-4*$C$12)&lt;0,0,(E21-4*$C$12))</f>
        <v>50</v>
      </c>
      <c r="F17" s="126">
        <f aca="true" t="shared" si="2" ref="F17:F23">IF((((-0.0013*(E17+$C$16)^2+0.4159*(E17+$C$16))-(-0.0013*($C$16)^2+0.4159*($C$16)))-((-0.0013*(E16+$C$16)^2+0.4159*(E16+$C$16))-(-0.0013*($C$16)^2+0.4159*($C$16))))&lt;0,0,((-0.0013*(E17+$C$16)^2+0.4159*(E17+$C$16))-(-0.0013*($C$16)^2+0.4159*($C$16)))-((-0.0013*(E16+$C$16)^2+0.4159*(E16+$C$16))-(-0.0013*($C$16)^2+0.4159*($C$16))))</f>
        <v>2.2089999999999996</v>
      </c>
      <c r="G17" s="201">
        <f t="shared" si="0"/>
        <v>1.117754</v>
      </c>
      <c r="H17" s="201">
        <f t="shared" si="1"/>
        <v>1.2774331428571426</v>
      </c>
      <c r="I17" s="201">
        <f t="shared" si="1"/>
        <v>1.4371122857142855</v>
      </c>
      <c r="J17" s="201">
        <f t="shared" si="1"/>
        <v>1.5967914285714282</v>
      </c>
      <c r="K17" s="201">
        <f t="shared" si="1"/>
        <v>1.756470571428571</v>
      </c>
      <c r="L17" s="201">
        <f t="shared" si="1"/>
        <v>1.916149714285714</v>
      </c>
      <c r="M17" s="202">
        <f t="shared" si="1"/>
        <v>2.0758288571428567</v>
      </c>
    </row>
    <row r="18" spans="1:13" ht="15.75" thickBot="1">
      <c r="A18" s="16"/>
      <c r="B18" s="17"/>
      <c r="C18" s="18"/>
      <c r="D18" s="18"/>
      <c r="E18" s="193">
        <f>IF((E22-4*$C$12)&lt;0,0,(E22-4*$C$12))</f>
        <v>60</v>
      </c>
      <c r="F18" s="126">
        <f t="shared" si="2"/>
        <v>1.948999999999998</v>
      </c>
      <c r="G18" s="201">
        <f t="shared" si="0"/>
        <v>0.986193999999999</v>
      </c>
      <c r="H18" s="201">
        <f t="shared" si="1"/>
        <v>1.127078857142856</v>
      </c>
      <c r="I18" s="201">
        <f t="shared" si="1"/>
        <v>1.267963714285713</v>
      </c>
      <c r="J18" s="201">
        <f t="shared" si="1"/>
        <v>1.4088485714285701</v>
      </c>
      <c r="K18" s="201">
        <f t="shared" si="1"/>
        <v>1.549733428571427</v>
      </c>
      <c r="L18" s="201">
        <f t="shared" si="1"/>
        <v>1.690618285714284</v>
      </c>
      <c r="M18" s="202">
        <f t="shared" si="1"/>
        <v>1.831503142857141</v>
      </c>
    </row>
    <row r="19" spans="1:13" ht="15.75" thickBot="1">
      <c r="A19" s="16"/>
      <c r="B19" s="47"/>
      <c r="C19" s="48"/>
      <c r="D19" s="49" t="s">
        <v>13</v>
      </c>
      <c r="E19" s="50">
        <f>'Data Entry'!G9</f>
        <v>70</v>
      </c>
      <c r="F19" s="192">
        <f t="shared" si="2"/>
        <v>1.6889999999999983</v>
      </c>
      <c r="G19" s="201">
        <f t="shared" si="0"/>
        <v>0.8546339999999991</v>
      </c>
      <c r="H19" s="201">
        <f t="shared" si="1"/>
        <v>0.9767245714285704</v>
      </c>
      <c r="I19" s="201">
        <f t="shared" si="1"/>
        <v>1.0988151428571418</v>
      </c>
      <c r="J19" s="201">
        <f t="shared" si="1"/>
        <v>1.220905714285713</v>
      </c>
      <c r="K19" s="201">
        <f t="shared" si="1"/>
        <v>1.3429962857142843</v>
      </c>
      <c r="L19" s="201">
        <f t="shared" si="1"/>
        <v>1.4650868571428557</v>
      </c>
      <c r="M19" s="202">
        <f t="shared" si="1"/>
        <v>1.587177428571427</v>
      </c>
    </row>
    <row r="20" spans="1:13" ht="15">
      <c r="A20" s="16"/>
      <c r="B20" s="17"/>
      <c r="C20" s="18"/>
      <c r="D20" s="18"/>
      <c r="E20" s="194">
        <f>E19+C12</f>
        <v>80</v>
      </c>
      <c r="F20" s="126">
        <f t="shared" si="2"/>
        <v>1.4290000000000092</v>
      </c>
      <c r="G20" s="201">
        <f t="shared" si="0"/>
        <v>0.7230740000000047</v>
      </c>
      <c r="H20" s="201">
        <f t="shared" si="1"/>
        <v>0.826370285714291</v>
      </c>
      <c r="I20" s="201">
        <f t="shared" si="1"/>
        <v>0.9296665714285773</v>
      </c>
      <c r="J20" s="201">
        <f t="shared" si="1"/>
        <v>1.0329628571428637</v>
      </c>
      <c r="K20" s="201">
        <f t="shared" si="1"/>
        <v>1.13625914285715</v>
      </c>
      <c r="L20" s="201">
        <f t="shared" si="1"/>
        <v>1.2395554285714365</v>
      </c>
      <c r="M20" s="202">
        <f t="shared" si="1"/>
        <v>1.3428517142857228</v>
      </c>
    </row>
    <row r="21" spans="1:13" ht="15">
      <c r="A21" s="16"/>
      <c r="B21" s="17"/>
      <c r="C21" s="52"/>
      <c r="D21" s="18"/>
      <c r="E21" s="190">
        <f>E19+2*C12</f>
        <v>90</v>
      </c>
      <c r="F21" s="126">
        <f t="shared" si="2"/>
        <v>1.168999999999997</v>
      </c>
      <c r="G21" s="201">
        <f t="shared" si="0"/>
        <v>0.5915139999999984</v>
      </c>
      <c r="H21" s="201">
        <f t="shared" si="1"/>
        <v>0.6760159999999982</v>
      </c>
      <c r="I21" s="201">
        <f t="shared" si="1"/>
        <v>0.760517999999998</v>
      </c>
      <c r="J21" s="201">
        <f t="shared" si="1"/>
        <v>0.8450199999999978</v>
      </c>
      <c r="K21" s="201">
        <f t="shared" si="1"/>
        <v>0.9295219999999975</v>
      </c>
      <c r="L21" s="201">
        <f t="shared" si="1"/>
        <v>1.0140239999999974</v>
      </c>
      <c r="M21" s="202">
        <f t="shared" si="1"/>
        <v>1.098525999999997</v>
      </c>
    </row>
    <row r="22" spans="1:13" ht="15">
      <c r="A22" s="16"/>
      <c r="B22" s="17"/>
      <c r="C22" s="18"/>
      <c r="D22" s="18"/>
      <c r="E22" s="190">
        <f>E19+3*C12</f>
        <v>100</v>
      </c>
      <c r="F22" s="126">
        <f t="shared" si="2"/>
        <v>0.9089999999999989</v>
      </c>
      <c r="G22" s="201">
        <f t="shared" si="0"/>
        <v>0.4599539999999995</v>
      </c>
      <c r="H22" s="201">
        <f t="shared" si="1"/>
        <v>0.5256617142857136</v>
      </c>
      <c r="I22" s="201">
        <f t="shared" si="1"/>
        <v>0.5913694285714278</v>
      </c>
      <c r="J22" s="201">
        <f t="shared" si="1"/>
        <v>0.657077142857142</v>
      </c>
      <c r="K22" s="201">
        <f t="shared" si="1"/>
        <v>0.7227848571428562</v>
      </c>
      <c r="L22" s="201">
        <f t="shared" si="1"/>
        <v>0.7884925714285704</v>
      </c>
      <c r="M22" s="202">
        <f t="shared" si="1"/>
        <v>0.8542002857142847</v>
      </c>
    </row>
    <row r="23" spans="1:13" ht="15">
      <c r="A23" s="16"/>
      <c r="B23" s="17"/>
      <c r="C23" s="18"/>
      <c r="D23" s="18"/>
      <c r="E23" s="190">
        <f>E19+4*C12</f>
        <v>110</v>
      </c>
      <c r="F23" s="126">
        <f t="shared" si="2"/>
        <v>0.6489999999999938</v>
      </c>
      <c r="G23" s="201">
        <f t="shared" si="0"/>
        <v>0.32839399999999686</v>
      </c>
      <c r="H23" s="201">
        <f t="shared" si="1"/>
        <v>0.37530742857142496</v>
      </c>
      <c r="I23" s="201">
        <f t="shared" si="1"/>
        <v>0.4222208571428531</v>
      </c>
      <c r="J23" s="201">
        <f t="shared" si="1"/>
        <v>0.46913428571428123</v>
      </c>
      <c r="K23" s="201">
        <f t="shared" si="1"/>
        <v>0.5160477142857094</v>
      </c>
      <c r="L23" s="201">
        <f t="shared" si="1"/>
        <v>0.5629611428571375</v>
      </c>
      <c r="M23" s="202">
        <f t="shared" si="1"/>
        <v>0.6098745714285656</v>
      </c>
    </row>
    <row r="24" spans="1:13" ht="13.5" customHeight="1">
      <c r="A24" s="16"/>
      <c r="B24" s="17"/>
      <c r="C24" s="18"/>
      <c r="D24" s="18"/>
      <c r="E24" s="78" t="s">
        <v>86</v>
      </c>
      <c r="F24" s="121"/>
      <c r="G24" s="121"/>
      <c r="H24" s="121"/>
      <c r="I24" s="12"/>
      <c r="J24" s="80"/>
      <c r="K24" s="195">
        <f>C12</f>
        <v>10</v>
      </c>
      <c r="L24" s="77" t="s">
        <v>30</v>
      </c>
      <c r="M24" s="122"/>
    </row>
    <row r="25" spans="1:13" ht="9.75" customHeight="1">
      <c r="A25" s="16"/>
      <c r="B25" s="17"/>
      <c r="C25" s="18"/>
      <c r="D25" s="18"/>
      <c r="E25" s="78" t="s">
        <v>107</v>
      </c>
      <c r="F25" s="121"/>
      <c r="G25" s="121"/>
      <c r="H25" s="121"/>
      <c r="I25" s="12"/>
      <c r="J25" s="80"/>
      <c r="K25" s="80"/>
      <c r="L25" s="80"/>
      <c r="M25" s="122"/>
    </row>
    <row r="26" spans="1:13" ht="9.75" customHeight="1">
      <c r="A26" s="16"/>
      <c r="B26" s="17"/>
      <c r="C26" s="18"/>
      <c r="D26" s="18"/>
      <c r="E26" s="200" t="s">
        <v>115</v>
      </c>
      <c r="F26" s="12"/>
      <c r="G26" s="121"/>
      <c r="H26" s="121"/>
      <c r="I26" s="121"/>
      <c r="J26" s="121"/>
      <c r="K26" s="121"/>
      <c r="L26" s="121"/>
      <c r="M26" s="122"/>
    </row>
    <row r="27" spans="1:13" ht="9.75" customHeight="1" thickBot="1">
      <c r="A27" s="16"/>
      <c r="B27" s="17"/>
      <c r="C27" s="18"/>
      <c r="D27" s="18"/>
      <c r="E27" s="124"/>
      <c r="F27" s="123"/>
      <c r="G27" s="123"/>
      <c r="H27" s="123"/>
      <c r="I27" s="151"/>
      <c r="J27" s="119"/>
      <c r="K27" s="119"/>
      <c r="L27" s="119"/>
      <c r="M27" s="120"/>
    </row>
    <row r="28" spans="2:13" ht="11.25" customHeight="1" thickBot="1">
      <c r="B28" s="215"/>
      <c r="C28" s="216"/>
      <c r="D28" s="216"/>
      <c r="E28" s="216"/>
      <c r="F28" s="216"/>
      <c r="G28" s="216"/>
      <c r="H28" s="216"/>
      <c r="I28" s="216"/>
      <c r="J28" s="55"/>
      <c r="K28" s="55"/>
      <c r="L28" s="55"/>
      <c r="M28" s="56"/>
    </row>
  </sheetData>
  <sheetProtection password="CE5A" sheet="1" objects="1" scenarios="1"/>
  <mergeCells count="10">
    <mergeCell ref="G12:M12"/>
    <mergeCell ref="G13:M13"/>
    <mergeCell ref="B28:I28"/>
    <mergeCell ref="B2:M2"/>
    <mergeCell ref="B3:M3"/>
    <mergeCell ref="B7:C7"/>
    <mergeCell ref="H8:L8"/>
    <mergeCell ref="G5:J5"/>
    <mergeCell ref="D5:F5"/>
    <mergeCell ref="K5:M5"/>
  </mergeCells>
  <conditionalFormatting sqref="G15:M23">
    <cfRule type="cellIs" priority="1" dxfId="2" operator="between" stopIfTrue="1">
      <formula>1.25</formula>
      <formula>1.5</formula>
    </cfRule>
  </conditionalFormatting>
  <hyperlinks>
    <hyperlink ref="D5" location="'Wheat (Dry) Crop'!A1" display="Return to Wheat (dry) as variable"/>
    <hyperlink ref="G5" location="'Wheat (Dry) Fertilizer'!A1" display="Go to Fertilizer Price as variable"/>
    <hyperlink ref="K5" location="'Data Entry'!A1" display="Return to Data Entry"/>
  </hyperlink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8"/>
  <sheetViews>
    <sheetView showGridLines="0" workbookViewId="0" topLeftCell="A1">
      <selection activeCell="F20" sqref="F20"/>
    </sheetView>
  </sheetViews>
  <sheetFormatPr defaultColWidth="9.140625" defaultRowHeight="12.75"/>
  <cols>
    <col min="1" max="1" width="1.57421875" style="10" customWidth="1"/>
    <col min="2" max="2" width="17.140625" style="10" customWidth="1"/>
    <col min="3" max="3" width="9.140625" style="10" customWidth="1"/>
    <col min="4" max="4" width="11.140625" style="10" customWidth="1"/>
    <col min="5" max="5" width="9.140625" style="10" customWidth="1"/>
    <col min="6" max="6" width="10.7109375" style="10" customWidth="1"/>
    <col min="7" max="13" width="9.140625" style="10" customWidth="1"/>
    <col min="14" max="14" width="13.28125" style="10" customWidth="1"/>
    <col min="15" max="16384" width="9.140625" style="10" customWidth="1"/>
  </cols>
  <sheetData>
    <row r="1" spans="2:9" ht="6" customHeight="1" thickBot="1">
      <c r="B1" s="11"/>
      <c r="C1" s="11"/>
      <c r="D1" s="11"/>
      <c r="E1" s="11"/>
      <c r="F1" s="11"/>
      <c r="G1" s="11"/>
      <c r="H1" s="11"/>
      <c r="I1" s="11"/>
    </row>
    <row r="2" spans="1:13" ht="20.25">
      <c r="A2" s="11"/>
      <c r="B2" s="254" t="s">
        <v>40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6"/>
    </row>
    <row r="3" spans="1:13" ht="20.25">
      <c r="A3" s="11"/>
      <c r="B3" s="257" t="s">
        <v>49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9"/>
    </row>
    <row r="4" spans="1:14" ht="6.75" customHeight="1">
      <c r="A4" s="11"/>
      <c r="B4" s="13"/>
      <c r="C4" s="14"/>
      <c r="D4" s="14"/>
      <c r="E4" s="14"/>
      <c r="F4" s="14"/>
      <c r="G4" s="14"/>
      <c r="H4" s="14"/>
      <c r="I4" s="14"/>
      <c r="J4" s="12"/>
      <c r="K4" s="12"/>
      <c r="L4" s="12"/>
      <c r="M4" s="15"/>
      <c r="N4" s="158"/>
    </row>
    <row r="5" spans="2:13" ht="12.75">
      <c r="B5" s="198"/>
      <c r="C5" s="199"/>
      <c r="D5" s="279" t="s">
        <v>79</v>
      </c>
      <c r="E5" s="280"/>
      <c r="F5" s="280"/>
      <c r="G5" s="279" t="s">
        <v>119</v>
      </c>
      <c r="H5" s="280"/>
      <c r="I5" s="280"/>
      <c r="J5" s="280"/>
      <c r="K5" s="261" t="s">
        <v>96</v>
      </c>
      <c r="L5" s="280"/>
      <c r="M5" s="282"/>
    </row>
    <row r="6" spans="1:14" ht="4.5" customHeight="1" thickBot="1">
      <c r="A6" s="16"/>
      <c r="B6" s="17"/>
      <c r="C6" s="18"/>
      <c r="D6" s="18"/>
      <c r="E6" s="18"/>
      <c r="F6" s="18"/>
      <c r="G6" s="18"/>
      <c r="H6" s="18"/>
      <c r="I6" s="18"/>
      <c r="J6" s="12"/>
      <c r="K6" s="12"/>
      <c r="L6" s="12"/>
      <c r="M6" s="15"/>
      <c r="N6" s="158"/>
    </row>
    <row r="7" spans="1:13" ht="15.75" customHeight="1" thickBot="1">
      <c r="A7" s="16"/>
      <c r="B7" s="234" t="s">
        <v>39</v>
      </c>
      <c r="C7" s="235"/>
      <c r="E7" s="18"/>
      <c r="F7" s="18"/>
      <c r="G7" s="18"/>
      <c r="H7" s="19"/>
      <c r="I7" s="18"/>
      <c r="J7" s="19"/>
      <c r="K7" s="12"/>
      <c r="L7" s="12"/>
      <c r="M7" s="15"/>
    </row>
    <row r="8" spans="1:13" ht="15" customHeight="1">
      <c r="A8" s="16"/>
      <c r="B8" s="87" t="s">
        <v>1</v>
      </c>
      <c r="C8" s="21" t="str">
        <f>'Data Entry'!C7</f>
        <v>UREA</v>
      </c>
      <c r="D8" s="18"/>
      <c r="E8" s="22"/>
      <c r="F8" s="23"/>
      <c r="G8" s="23"/>
      <c r="H8" s="266" t="s">
        <v>17</v>
      </c>
      <c r="I8" s="267"/>
      <c r="J8" s="267"/>
      <c r="K8" s="267"/>
      <c r="L8" s="267"/>
      <c r="M8" s="24"/>
    </row>
    <row r="9" spans="1:13" ht="15">
      <c r="A9" s="16"/>
      <c r="B9" s="20" t="s">
        <v>3</v>
      </c>
      <c r="C9" s="59">
        <f>'Data Entry'!C8</f>
        <v>700</v>
      </c>
      <c r="D9" s="18"/>
      <c r="E9" s="17"/>
      <c r="F9" s="18"/>
      <c r="G9" s="18"/>
      <c r="H9" s="19"/>
      <c r="I9" s="18"/>
      <c r="J9" s="19"/>
      <c r="K9" s="12"/>
      <c r="L9" s="12"/>
      <c r="M9" s="15"/>
    </row>
    <row r="10" spans="1:13" ht="15">
      <c r="A10" s="16"/>
      <c r="B10" s="20" t="s">
        <v>4</v>
      </c>
      <c r="C10" s="25">
        <f>'Data Entry'!C9</f>
        <v>46</v>
      </c>
      <c r="D10" s="18"/>
      <c r="E10" s="17"/>
      <c r="F10" s="18"/>
      <c r="G10" s="26">
        <f>J10-C14*3</f>
        <v>3.5</v>
      </c>
      <c r="H10" s="26">
        <f>J10-C14*2</f>
        <v>4</v>
      </c>
      <c r="I10" s="26">
        <f>J10-C14</f>
        <v>4.5</v>
      </c>
      <c r="J10" s="27">
        <f>'Data Entry'!F14</f>
        <v>5</v>
      </c>
      <c r="K10" s="26">
        <f>J10+C14</f>
        <v>5.5</v>
      </c>
      <c r="L10" s="26">
        <f>J10+C14*2</f>
        <v>6</v>
      </c>
      <c r="M10" s="28">
        <f>J10+C14*3</f>
        <v>6.5</v>
      </c>
    </row>
    <row r="11" spans="1:13" ht="15">
      <c r="A11" s="16"/>
      <c r="B11" s="20" t="s">
        <v>5</v>
      </c>
      <c r="C11" s="61">
        <f>(C9/((C10/100)*2200))</f>
        <v>0.691699604743083</v>
      </c>
      <c r="D11" s="18"/>
      <c r="E11" s="17"/>
      <c r="F11" s="29"/>
      <c r="G11" s="18"/>
      <c r="H11" s="18"/>
      <c r="I11" s="18"/>
      <c r="J11" s="12"/>
      <c r="K11" s="12"/>
      <c r="L11" s="12"/>
      <c r="M11" s="15"/>
    </row>
    <row r="12" spans="1:13" ht="15">
      <c r="A12" s="16"/>
      <c r="B12" s="30" t="s">
        <v>20</v>
      </c>
      <c r="C12" s="31">
        <f>'Data Entry'!C11</f>
        <v>10</v>
      </c>
      <c r="D12" s="18"/>
      <c r="E12" s="32"/>
      <c r="F12" s="29"/>
      <c r="G12" s="274" t="s">
        <v>111</v>
      </c>
      <c r="H12" s="274"/>
      <c r="I12" s="274"/>
      <c r="J12" s="274"/>
      <c r="K12" s="274"/>
      <c r="L12" s="274"/>
      <c r="M12" s="275"/>
    </row>
    <row r="13" spans="1:13" ht="15.75" thickBot="1">
      <c r="A13" s="16"/>
      <c r="B13" s="33" t="s">
        <v>106</v>
      </c>
      <c r="C13" s="34"/>
      <c r="D13" s="18"/>
      <c r="E13" s="35" t="s">
        <v>9</v>
      </c>
      <c r="F13" s="36" t="s">
        <v>41</v>
      </c>
      <c r="G13" s="219" t="s">
        <v>42</v>
      </c>
      <c r="H13" s="219"/>
      <c r="I13" s="219"/>
      <c r="J13" s="219"/>
      <c r="K13" s="219"/>
      <c r="L13" s="219"/>
      <c r="M13" s="212"/>
    </row>
    <row r="14" spans="1:13" ht="15">
      <c r="A14" s="16"/>
      <c r="B14" s="37" t="s">
        <v>108</v>
      </c>
      <c r="C14" s="57">
        <f>'Data Entry'!C13</f>
        <v>0.5</v>
      </c>
      <c r="D14" s="18"/>
      <c r="E14" s="39" t="s">
        <v>11</v>
      </c>
      <c r="F14" s="40" t="s">
        <v>12</v>
      </c>
      <c r="G14" s="41"/>
      <c r="H14" s="41"/>
      <c r="I14" s="41"/>
      <c r="J14" s="41"/>
      <c r="K14" s="41"/>
      <c r="L14" s="41"/>
      <c r="M14" s="112"/>
    </row>
    <row r="15" spans="1:13" ht="15">
      <c r="A15" s="16"/>
      <c r="B15" s="43" t="s">
        <v>28</v>
      </c>
      <c r="C15" s="34"/>
      <c r="D15" s="18"/>
      <c r="E15" s="190">
        <f>IF((E19-4*$C$12)&lt;0,0,(E19-4*$C$12))</f>
        <v>0</v>
      </c>
      <c r="F15" s="126">
        <f>IF((((-0.0038*(E15+$C$16)^2+0.5464*(E15+$C$16))-(-0.0038*($C$16)^2+0.5464*($C$16)))-((-0.0038*((E15-$C$12)+$C$16)^2+0.5464*((E15-$C$12)+$C$16))-(-0.0038*($C$16)^2+0.5464*($C$16))))&lt;0,0,((-0.0038*(E15+$C$16)^2+0.5464*(E15+$C$16))-(-0.0038*($C$16)^2+0.5464*($C$16)))-((-0.0038*((E15-$C$12)+$C$16)^2+0.5464*((E15-$C$12)+$C$16))-(-0.0038*($C$16)^2+0.5464*($C$16))))</f>
        <v>3.5639999999999983</v>
      </c>
      <c r="G15" s="201">
        <f aca="true" t="shared" si="0" ref="G15:G23">($F15*G$10)/($C$12*$C$11)</f>
        <v>1.803383999999999</v>
      </c>
      <c r="H15" s="201">
        <f aca="true" t="shared" si="1" ref="H15:M23">($F15*H$10)/($C$12*$C$11)</f>
        <v>2.0610102857142847</v>
      </c>
      <c r="I15" s="201">
        <f t="shared" si="1"/>
        <v>2.3186365714285704</v>
      </c>
      <c r="J15" s="201">
        <f t="shared" si="1"/>
        <v>2.576262857142856</v>
      </c>
      <c r="K15" s="201">
        <f t="shared" si="1"/>
        <v>2.8338891428571413</v>
      </c>
      <c r="L15" s="201">
        <f t="shared" si="1"/>
        <v>3.091515428571427</v>
      </c>
      <c r="M15" s="202">
        <f t="shared" si="1"/>
        <v>3.3491417142857127</v>
      </c>
    </row>
    <row r="16" spans="1:13" ht="15">
      <c r="A16" s="16"/>
      <c r="B16" s="37" t="s">
        <v>29</v>
      </c>
      <c r="C16" s="45">
        <f>'Data Entry'!C15</f>
        <v>30</v>
      </c>
      <c r="D16" s="18"/>
      <c r="E16" s="190">
        <f>IF((E20-4*$C$12)&lt;0,0,(E20-4*$C$12))</f>
        <v>10</v>
      </c>
      <c r="F16" s="126">
        <f>IF((((-0.0038*(E16+$C$16)^2+0.5464*(E16+$C$16))-(-0.0038*($C$16)^2+0.5464*($C$16)))-((-0.0038*(E15+$C$16)^2+0.5464*(E15+$C$16))-(-0.0038*($C$16)^2+0.5464*($C$16))))&lt;0,0,((-0.0038*(E16+$C$16)^2+0.5464*(E16+$C$16))-(-0.0038*($C$16)^2+0.5464*($C$16)))-((-0.0038*(E15+$C$16)^2+0.5464*(E15+$C$16))-(-0.0038*($C$16)^2+0.5464*($C$16))))</f>
        <v>2.804000000000002</v>
      </c>
      <c r="G16" s="201">
        <f t="shared" si="0"/>
        <v>1.418824000000001</v>
      </c>
      <c r="H16" s="201">
        <f t="shared" si="1"/>
        <v>1.621513142857144</v>
      </c>
      <c r="I16" s="201">
        <f t="shared" si="1"/>
        <v>1.824202285714287</v>
      </c>
      <c r="J16" s="201">
        <f t="shared" si="1"/>
        <v>2.02689142857143</v>
      </c>
      <c r="K16" s="201">
        <f t="shared" si="1"/>
        <v>2.2295805714285732</v>
      </c>
      <c r="L16" s="201">
        <f t="shared" si="1"/>
        <v>2.432269714285716</v>
      </c>
      <c r="M16" s="202">
        <f t="shared" si="1"/>
        <v>2.634958857142859</v>
      </c>
    </row>
    <row r="17" spans="1:13" ht="15">
      <c r="A17" s="16"/>
      <c r="B17" s="43" t="s">
        <v>30</v>
      </c>
      <c r="C17" s="46"/>
      <c r="D17" s="18"/>
      <c r="E17" s="190">
        <f>IF((E21-4*$C$12)&lt;0,0,(E21-4*$C$12))</f>
        <v>20</v>
      </c>
      <c r="F17" s="126">
        <f aca="true" t="shared" si="2" ref="F17:F23">IF((((-0.0038*(E17+$C$16)^2+0.5464*(E17+$C$16))-(-0.0038*($C$16)^2+0.5464*($C$16)))-((-0.0038*(E16+$C$16)^2+0.5464*(E16+$C$16))-(-0.0038*($C$16)^2+0.5464*($C$16))))&lt;0,0,((-0.0038*(E17+$C$16)^2+0.5464*(E17+$C$16))-(-0.0038*($C$16)^2+0.5464*($C$16)))-((-0.0038*(E16+$C$16)^2+0.5464*(E16+$C$16))-(-0.0038*($C$16)^2+0.5464*($C$16))))</f>
        <v>2.0439999999999987</v>
      </c>
      <c r="G17" s="201">
        <f t="shared" si="0"/>
        <v>1.0342639999999994</v>
      </c>
      <c r="H17" s="201">
        <f t="shared" si="1"/>
        <v>1.1820159999999993</v>
      </c>
      <c r="I17" s="201">
        <f t="shared" si="1"/>
        <v>1.329767999999999</v>
      </c>
      <c r="J17" s="201">
        <f t="shared" si="1"/>
        <v>1.477519999999999</v>
      </c>
      <c r="K17" s="201">
        <f t="shared" si="1"/>
        <v>1.6252719999999992</v>
      </c>
      <c r="L17" s="201">
        <f t="shared" si="1"/>
        <v>1.7730239999999988</v>
      </c>
      <c r="M17" s="202">
        <f t="shared" si="1"/>
        <v>1.9207759999999987</v>
      </c>
    </row>
    <row r="18" spans="1:13" ht="15.75" thickBot="1">
      <c r="A18" s="16"/>
      <c r="B18" s="17"/>
      <c r="C18" s="18"/>
      <c r="D18" s="18"/>
      <c r="E18" s="193">
        <f>IF((E22-4*$C$12)&lt;0,0,(E22-4*$C$12))</f>
        <v>30</v>
      </c>
      <c r="F18" s="126">
        <f t="shared" si="2"/>
        <v>1.283999999999999</v>
      </c>
      <c r="G18" s="201">
        <f t="shared" si="0"/>
        <v>0.6497039999999995</v>
      </c>
      <c r="H18" s="201">
        <f t="shared" si="1"/>
        <v>0.7425188571428565</v>
      </c>
      <c r="I18" s="201">
        <f t="shared" si="1"/>
        <v>0.8353337142857136</v>
      </c>
      <c r="J18" s="201">
        <f t="shared" si="1"/>
        <v>0.9281485714285707</v>
      </c>
      <c r="K18" s="201">
        <f t="shared" si="1"/>
        <v>1.0209634285714277</v>
      </c>
      <c r="L18" s="201">
        <f t="shared" si="1"/>
        <v>1.1137782857142848</v>
      </c>
      <c r="M18" s="202">
        <f t="shared" si="1"/>
        <v>1.206593142857142</v>
      </c>
    </row>
    <row r="19" spans="1:13" ht="15.75" thickBot="1">
      <c r="A19" s="16"/>
      <c r="B19" s="47"/>
      <c r="C19" s="48"/>
      <c r="D19" s="49" t="s">
        <v>13</v>
      </c>
      <c r="E19" s="50">
        <f>'Data Entry'!H9</f>
        <v>40</v>
      </c>
      <c r="F19" s="192">
        <f t="shared" si="2"/>
        <v>0.5239999999999974</v>
      </c>
      <c r="G19" s="201">
        <f t="shared" si="0"/>
        <v>0.26514399999999866</v>
      </c>
      <c r="H19" s="201">
        <f t="shared" si="1"/>
        <v>0.30302171428571273</v>
      </c>
      <c r="I19" s="201">
        <f t="shared" si="1"/>
        <v>0.34089942857142685</v>
      </c>
      <c r="J19" s="201">
        <f t="shared" si="1"/>
        <v>0.3787771428571409</v>
      </c>
      <c r="K19" s="201">
        <f t="shared" si="1"/>
        <v>0.41665485714285505</v>
      </c>
      <c r="L19" s="201">
        <f t="shared" si="1"/>
        <v>0.4545325714285691</v>
      </c>
      <c r="M19" s="202">
        <f t="shared" si="1"/>
        <v>0.49241028571428325</v>
      </c>
    </row>
    <row r="20" spans="1:13" ht="15">
      <c r="A20" s="16"/>
      <c r="B20" s="17"/>
      <c r="C20" s="18"/>
      <c r="D20" s="18"/>
      <c r="E20" s="194">
        <f>E19+C12</f>
        <v>50</v>
      </c>
      <c r="F20" s="126">
        <f t="shared" si="2"/>
        <v>0</v>
      </c>
      <c r="G20" s="201">
        <f t="shared" si="0"/>
        <v>0</v>
      </c>
      <c r="H20" s="201">
        <f t="shared" si="1"/>
        <v>0</v>
      </c>
      <c r="I20" s="201">
        <f t="shared" si="1"/>
        <v>0</v>
      </c>
      <c r="J20" s="201">
        <f t="shared" si="1"/>
        <v>0</v>
      </c>
      <c r="K20" s="201">
        <f t="shared" si="1"/>
        <v>0</v>
      </c>
      <c r="L20" s="201">
        <f t="shared" si="1"/>
        <v>0</v>
      </c>
      <c r="M20" s="202">
        <f t="shared" si="1"/>
        <v>0</v>
      </c>
    </row>
    <row r="21" spans="1:13" ht="15">
      <c r="A21" s="16"/>
      <c r="B21" s="17"/>
      <c r="C21" s="52"/>
      <c r="D21" s="18"/>
      <c r="E21" s="190">
        <f>E19+2*C12</f>
        <v>60</v>
      </c>
      <c r="F21" s="126">
        <f t="shared" si="2"/>
        <v>0</v>
      </c>
      <c r="G21" s="201">
        <f t="shared" si="0"/>
        <v>0</v>
      </c>
      <c r="H21" s="201">
        <f t="shared" si="1"/>
        <v>0</v>
      </c>
      <c r="I21" s="201">
        <f t="shared" si="1"/>
        <v>0</v>
      </c>
      <c r="J21" s="201">
        <f t="shared" si="1"/>
        <v>0</v>
      </c>
      <c r="K21" s="201">
        <f t="shared" si="1"/>
        <v>0</v>
      </c>
      <c r="L21" s="201">
        <f t="shared" si="1"/>
        <v>0</v>
      </c>
      <c r="M21" s="202">
        <f t="shared" si="1"/>
        <v>0</v>
      </c>
    </row>
    <row r="22" spans="1:13" ht="15">
      <c r="A22" s="16"/>
      <c r="B22" s="17"/>
      <c r="C22" s="18"/>
      <c r="D22" s="18"/>
      <c r="E22" s="190">
        <f>E19+3*C12</f>
        <v>70</v>
      </c>
      <c r="F22" s="126">
        <f t="shared" si="2"/>
        <v>0</v>
      </c>
      <c r="G22" s="201">
        <f t="shared" si="0"/>
        <v>0</v>
      </c>
      <c r="H22" s="201">
        <f t="shared" si="1"/>
        <v>0</v>
      </c>
      <c r="I22" s="201">
        <f t="shared" si="1"/>
        <v>0</v>
      </c>
      <c r="J22" s="201">
        <f t="shared" si="1"/>
        <v>0</v>
      </c>
      <c r="K22" s="201">
        <f t="shared" si="1"/>
        <v>0</v>
      </c>
      <c r="L22" s="201">
        <f t="shared" si="1"/>
        <v>0</v>
      </c>
      <c r="M22" s="202">
        <f t="shared" si="1"/>
        <v>0</v>
      </c>
    </row>
    <row r="23" spans="1:13" ht="15">
      <c r="A23" s="16"/>
      <c r="B23" s="17"/>
      <c r="C23" s="18"/>
      <c r="D23" s="18"/>
      <c r="E23" s="190">
        <f>E19+4*C12</f>
        <v>80</v>
      </c>
      <c r="F23" s="126">
        <f t="shared" si="2"/>
        <v>0</v>
      </c>
      <c r="G23" s="201">
        <f t="shared" si="0"/>
        <v>0</v>
      </c>
      <c r="H23" s="201">
        <f t="shared" si="1"/>
        <v>0</v>
      </c>
      <c r="I23" s="201">
        <f t="shared" si="1"/>
        <v>0</v>
      </c>
      <c r="J23" s="201">
        <f t="shared" si="1"/>
        <v>0</v>
      </c>
      <c r="K23" s="201">
        <f t="shared" si="1"/>
        <v>0</v>
      </c>
      <c r="L23" s="201">
        <f t="shared" si="1"/>
        <v>0</v>
      </c>
      <c r="M23" s="202">
        <f t="shared" si="1"/>
        <v>0</v>
      </c>
    </row>
    <row r="24" spans="1:13" ht="13.5" customHeight="1">
      <c r="A24" s="16"/>
      <c r="B24" s="17"/>
      <c r="C24" s="18"/>
      <c r="D24" s="18"/>
      <c r="E24" s="78" t="s">
        <v>86</v>
      </c>
      <c r="F24" s="121"/>
      <c r="G24" s="121"/>
      <c r="H24" s="121"/>
      <c r="I24" s="12"/>
      <c r="J24" s="80"/>
      <c r="K24" s="195">
        <f>C12</f>
        <v>10</v>
      </c>
      <c r="L24" s="77" t="s">
        <v>30</v>
      </c>
      <c r="M24" s="122"/>
    </row>
    <row r="25" spans="1:13" ht="9.75" customHeight="1">
      <c r="A25" s="16"/>
      <c r="B25" s="17"/>
      <c r="C25" s="18"/>
      <c r="D25" s="18"/>
      <c r="E25" s="78" t="s">
        <v>107</v>
      </c>
      <c r="F25" s="121"/>
      <c r="G25" s="121"/>
      <c r="H25" s="121"/>
      <c r="I25" s="12"/>
      <c r="J25" s="80"/>
      <c r="K25" s="80"/>
      <c r="L25" s="80"/>
      <c r="M25" s="122"/>
    </row>
    <row r="26" spans="1:13" ht="9.75" customHeight="1">
      <c r="A26" s="16"/>
      <c r="B26" s="17"/>
      <c r="C26" s="18"/>
      <c r="D26" s="18"/>
      <c r="E26" s="200" t="s">
        <v>115</v>
      </c>
      <c r="F26" s="12"/>
      <c r="G26" s="121"/>
      <c r="H26" s="121"/>
      <c r="I26" s="121"/>
      <c r="J26" s="121"/>
      <c r="K26" s="121"/>
      <c r="L26" s="121"/>
      <c r="M26" s="122"/>
    </row>
    <row r="27" spans="1:13" ht="9.75" customHeight="1" thickBot="1">
      <c r="A27" s="16"/>
      <c r="B27" s="17"/>
      <c r="C27" s="18"/>
      <c r="D27" s="18"/>
      <c r="E27" s="124"/>
      <c r="F27" s="123"/>
      <c r="G27" s="123"/>
      <c r="H27" s="123"/>
      <c r="I27" s="151"/>
      <c r="J27" s="119"/>
      <c r="K27" s="119"/>
      <c r="L27" s="119"/>
      <c r="M27" s="120"/>
    </row>
    <row r="28" spans="2:13" ht="11.25" customHeight="1" thickBot="1">
      <c r="B28" s="215"/>
      <c r="C28" s="216"/>
      <c r="D28" s="216"/>
      <c r="E28" s="216"/>
      <c r="F28" s="216"/>
      <c r="G28" s="216"/>
      <c r="H28" s="216"/>
      <c r="I28" s="216"/>
      <c r="J28" s="55"/>
      <c r="K28" s="55"/>
      <c r="L28" s="55"/>
      <c r="M28" s="56"/>
    </row>
  </sheetData>
  <sheetProtection password="CE5A" sheet="1" objects="1" scenarios="1"/>
  <mergeCells count="10">
    <mergeCell ref="B28:I28"/>
    <mergeCell ref="B2:M2"/>
    <mergeCell ref="B3:M3"/>
    <mergeCell ref="B7:C7"/>
    <mergeCell ref="H8:L8"/>
    <mergeCell ref="G12:M12"/>
    <mergeCell ref="G13:M13"/>
    <mergeCell ref="G5:J5"/>
    <mergeCell ref="D5:F5"/>
    <mergeCell ref="K5:M5"/>
  </mergeCells>
  <conditionalFormatting sqref="G15:M23">
    <cfRule type="cellIs" priority="1" dxfId="2" operator="between" stopIfTrue="1">
      <formula>1.25</formula>
      <formula>1.5</formula>
    </cfRule>
  </conditionalFormatting>
  <hyperlinks>
    <hyperlink ref="D5" location="'Wheat (Arid) Crop'!A1" display="Return to Wheat (Arid) as variable"/>
    <hyperlink ref="G5" location="'Wheat (Arid) Fertilizer'!A1" display="Go to Fertilizer Price as variable"/>
    <hyperlink ref="K5" location="'Data Entry'!A1" display="Return to Data Entry"/>
  </hyperlink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4"/>
  <sheetViews>
    <sheetView showGridLines="0" workbookViewId="0" topLeftCell="A1">
      <selection activeCell="I21" sqref="I21"/>
    </sheetView>
  </sheetViews>
  <sheetFormatPr defaultColWidth="9.140625" defaultRowHeight="12.75"/>
  <cols>
    <col min="1" max="1" width="1.57421875" style="10" customWidth="1"/>
    <col min="2" max="2" width="17.28125" style="10" customWidth="1"/>
    <col min="3" max="3" width="9.28125" style="10" bestFit="1" customWidth="1"/>
    <col min="4" max="4" width="9.140625" style="10" customWidth="1"/>
    <col min="5" max="5" width="9.28125" style="10" bestFit="1" customWidth="1"/>
    <col min="6" max="6" width="14.57421875" style="10" customWidth="1"/>
    <col min="7" max="10" width="9.28125" style="10" bestFit="1" customWidth="1"/>
    <col min="11" max="12" width="9.421875" style="10" bestFit="1" customWidth="1"/>
    <col min="13" max="13" width="9.140625" style="10" customWidth="1"/>
    <col min="14" max="14" width="14.8515625" style="10" customWidth="1"/>
    <col min="15" max="16384" width="9.140625" style="10" customWidth="1"/>
  </cols>
  <sheetData>
    <row r="1" spans="2:9" ht="6" customHeight="1" thickBot="1">
      <c r="B1" s="11"/>
      <c r="C1" s="11"/>
      <c r="D1" s="11"/>
      <c r="E1" s="11"/>
      <c r="F1" s="11"/>
      <c r="G1" s="11"/>
      <c r="H1" s="11"/>
      <c r="I1" s="11"/>
    </row>
    <row r="2" spans="1:13" ht="20.25">
      <c r="A2" s="11"/>
      <c r="B2" s="254" t="s">
        <v>40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6"/>
    </row>
    <row r="3" spans="1:13" ht="19.5" customHeight="1">
      <c r="A3" s="11"/>
      <c r="B3" s="257" t="s">
        <v>47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9"/>
    </row>
    <row r="4" spans="1:14" ht="6.75" customHeight="1">
      <c r="A4" s="11"/>
      <c r="B4" s="13"/>
      <c r="C4" s="14"/>
      <c r="D4" s="14"/>
      <c r="E4" s="14"/>
      <c r="F4" s="14"/>
      <c r="G4" s="14"/>
      <c r="H4" s="14"/>
      <c r="I4" s="14"/>
      <c r="J4" s="12"/>
      <c r="K4" s="12"/>
      <c r="L4" s="12"/>
      <c r="M4" s="15"/>
      <c r="N4" s="158"/>
    </row>
    <row r="5" spans="2:13" ht="12.75">
      <c r="B5" s="198"/>
      <c r="C5" s="199"/>
      <c r="D5" s="279" t="s">
        <v>81</v>
      </c>
      <c r="E5" s="280"/>
      <c r="F5" s="280"/>
      <c r="G5" s="279" t="s">
        <v>119</v>
      </c>
      <c r="H5" s="280"/>
      <c r="I5" s="280"/>
      <c r="J5" s="280"/>
      <c r="K5" s="261" t="s">
        <v>96</v>
      </c>
      <c r="L5" s="280"/>
      <c r="M5" s="282"/>
    </row>
    <row r="6" spans="1:14" ht="4.5" customHeight="1" thickBot="1">
      <c r="A6" s="16"/>
      <c r="B6" s="17"/>
      <c r="C6" s="18"/>
      <c r="D6" s="18"/>
      <c r="E6" s="18"/>
      <c r="F6" s="18"/>
      <c r="G6" s="18"/>
      <c r="H6" s="18"/>
      <c r="I6" s="18"/>
      <c r="J6" s="12"/>
      <c r="K6" s="12"/>
      <c r="L6" s="12"/>
      <c r="M6" s="15"/>
      <c r="N6" s="158"/>
    </row>
    <row r="7" spans="1:13" ht="15.75" customHeight="1" thickBot="1">
      <c r="A7" s="16"/>
      <c r="B7" s="234" t="s">
        <v>39</v>
      </c>
      <c r="C7" s="235"/>
      <c r="D7" s="18"/>
      <c r="E7" s="18"/>
      <c r="F7" s="18"/>
      <c r="G7" s="18"/>
      <c r="H7" s="19"/>
      <c r="I7" s="18"/>
      <c r="J7" s="19"/>
      <c r="K7" s="12"/>
      <c r="L7" s="12"/>
      <c r="M7" s="15"/>
    </row>
    <row r="8" spans="1:13" ht="15" customHeight="1">
      <c r="A8" s="16"/>
      <c r="B8" s="87" t="s">
        <v>1</v>
      </c>
      <c r="C8" s="21" t="str">
        <f>'Data Entry'!C7</f>
        <v>UREA</v>
      </c>
      <c r="D8" s="18"/>
      <c r="E8" s="22"/>
      <c r="F8" s="23"/>
      <c r="G8" s="23"/>
      <c r="H8" s="266" t="s">
        <v>22</v>
      </c>
      <c r="I8" s="267"/>
      <c r="J8" s="267"/>
      <c r="K8" s="267"/>
      <c r="L8" s="267"/>
      <c r="M8" s="24"/>
    </row>
    <row r="9" spans="1:13" ht="15">
      <c r="A9" s="16"/>
      <c r="B9" s="20" t="s">
        <v>3</v>
      </c>
      <c r="C9" s="59">
        <f>'Data Entry'!C8</f>
        <v>700</v>
      </c>
      <c r="D9" s="18"/>
      <c r="E9" s="17"/>
      <c r="F9" s="18"/>
      <c r="G9" s="18"/>
      <c r="H9" s="19"/>
      <c r="I9" s="18"/>
      <c r="J9" s="19"/>
      <c r="K9" s="12"/>
      <c r="L9" s="12"/>
      <c r="M9" s="15"/>
    </row>
    <row r="10" spans="1:13" ht="15">
      <c r="A10" s="16"/>
      <c r="B10" s="20" t="s">
        <v>4</v>
      </c>
      <c r="C10" s="25">
        <f>'Data Entry'!C9</f>
        <v>46</v>
      </c>
      <c r="D10" s="18"/>
      <c r="E10" s="17"/>
      <c r="F10" s="18"/>
      <c r="G10" s="26">
        <f>J10-C14*3</f>
        <v>1</v>
      </c>
      <c r="H10" s="26">
        <f>J10-C14*2</f>
        <v>1.5</v>
      </c>
      <c r="I10" s="26">
        <f>J10-C14</f>
        <v>2</v>
      </c>
      <c r="J10" s="27">
        <f>'Data Entry'!F15</f>
        <v>2.5</v>
      </c>
      <c r="K10" s="26">
        <f>J10+C14</f>
        <v>3</v>
      </c>
      <c r="L10" s="26">
        <f>J10+C14*2</f>
        <v>3.5</v>
      </c>
      <c r="M10" s="28">
        <f>J10+C14*3</f>
        <v>4</v>
      </c>
    </row>
    <row r="11" spans="1:13" ht="15">
      <c r="A11" s="16"/>
      <c r="B11" s="20" t="s">
        <v>5</v>
      </c>
      <c r="C11" s="61">
        <f>(C9/((C10/100)*2200))</f>
        <v>0.691699604743083</v>
      </c>
      <c r="D11" s="18"/>
      <c r="E11" s="17"/>
      <c r="G11" s="18"/>
      <c r="H11" s="18"/>
      <c r="I11" s="18"/>
      <c r="J11" s="12"/>
      <c r="K11" s="12"/>
      <c r="L11" s="12"/>
      <c r="M11" s="15"/>
    </row>
    <row r="12" spans="1:13" ht="15">
      <c r="A12" s="16"/>
      <c r="B12" s="30" t="s">
        <v>20</v>
      </c>
      <c r="C12" s="31">
        <f>'Data Entry'!C11</f>
        <v>10</v>
      </c>
      <c r="D12" s="18"/>
      <c r="E12" s="32"/>
      <c r="F12" s="29"/>
      <c r="G12" s="274" t="s">
        <v>111</v>
      </c>
      <c r="H12" s="274"/>
      <c r="I12" s="274"/>
      <c r="J12" s="274"/>
      <c r="K12" s="274"/>
      <c r="L12" s="274"/>
      <c r="M12" s="275"/>
    </row>
    <row r="13" spans="1:13" ht="15.75" thickBot="1">
      <c r="A13" s="16"/>
      <c r="B13" s="33" t="s">
        <v>106</v>
      </c>
      <c r="C13" s="34"/>
      <c r="D13" s="18"/>
      <c r="E13" s="35" t="s">
        <v>9</v>
      </c>
      <c r="F13" s="29" t="s">
        <v>41</v>
      </c>
      <c r="G13" s="219" t="s">
        <v>42</v>
      </c>
      <c r="H13" s="219"/>
      <c r="I13" s="219"/>
      <c r="J13" s="219"/>
      <c r="K13" s="219"/>
      <c r="L13" s="219"/>
      <c r="M13" s="212"/>
    </row>
    <row r="14" spans="1:13" ht="15">
      <c r="A14" s="16"/>
      <c r="B14" s="37" t="s">
        <v>108</v>
      </c>
      <c r="C14" s="38">
        <f>'Data Entry'!C13</f>
        <v>0.5</v>
      </c>
      <c r="D14" s="18"/>
      <c r="E14" s="39" t="s">
        <v>11</v>
      </c>
      <c r="F14" s="125" t="s">
        <v>12</v>
      </c>
      <c r="G14" s="41"/>
      <c r="H14" s="41"/>
      <c r="I14" s="41"/>
      <c r="J14" s="41"/>
      <c r="K14" s="41"/>
      <c r="L14" s="41"/>
      <c r="M14" s="112"/>
    </row>
    <row r="15" spans="1:13" ht="15">
      <c r="A15" s="16"/>
      <c r="B15" s="43" t="s">
        <v>28</v>
      </c>
      <c r="C15" s="34"/>
      <c r="D15" s="18"/>
      <c r="E15" s="44">
        <f>IF((E19-4*$C$12)&lt;0,0,(E19-4*$C$12))</f>
        <v>50</v>
      </c>
      <c r="F15" s="126">
        <f>IF((((-0.0037*(E15+$C$16)^2+1.152*(E15+$C$16))-(-0.0037*($C$16)^2+1.152*($C$16)))-((-0.0037*((E15-$C$12)+$C$16)^2+1.152*((E15-$C$12)+$C$16))-(-0.0037*($C$16)^2+1.152*($C$16))))&lt;0,0,(((-0.0037*(E15+$C$16)^2+1.152*(E15+$C$16))-(-0.0037*($C$16)^2+1.152*($C$16)))-((-0.0037*((E15-$C$12)+$C$16)^2+1.152*((E15-$C$12)+$C$16))-(-0.0037*($C$16)^2+1.152*($C$16)))))</f>
        <v>5.969999999999992</v>
      </c>
      <c r="G15" s="201">
        <f aca="true" t="shared" si="0" ref="G15:G23">($F15*G$10)/($C$12*$C$11)</f>
        <v>0.8630914285714274</v>
      </c>
      <c r="H15" s="201">
        <f aca="true" t="shared" si="1" ref="H15:M23">($F15*H$10)/($C$12*$C$11)</f>
        <v>1.294637142857141</v>
      </c>
      <c r="I15" s="201">
        <f t="shared" si="1"/>
        <v>1.7261828571428548</v>
      </c>
      <c r="J15" s="201">
        <f t="shared" si="1"/>
        <v>2.1577285714285686</v>
      </c>
      <c r="K15" s="201">
        <f t="shared" si="1"/>
        <v>2.589274285714282</v>
      </c>
      <c r="L15" s="201">
        <f t="shared" si="1"/>
        <v>3.0208199999999956</v>
      </c>
      <c r="M15" s="202">
        <f t="shared" si="1"/>
        <v>3.4523657142857096</v>
      </c>
    </row>
    <row r="16" spans="1:13" ht="15">
      <c r="A16" s="16"/>
      <c r="B16" s="37" t="s">
        <v>29</v>
      </c>
      <c r="C16" s="45">
        <f>'Data Entry'!C15</f>
        <v>30</v>
      </c>
      <c r="D16" s="18"/>
      <c r="E16" s="44">
        <f>IF((E20-4*$C$12)&lt;0,0,(E20-4*$C$12))</f>
        <v>60</v>
      </c>
      <c r="F16" s="126">
        <f>IF((((-0.0037*(E16+$C$16)^2+1.152*(E16+$C$16))-(-0.0037*($C$16)^2+1.152*($C$16)))-((-0.0037*(E16+$C$16)^2+1.152*(E16+$C$16))-(-0.0037*($C$16)^2+1.152*($C$16))))&lt;0,0,(((-0.0037*(E16+$C$16)^2+1.152*(E16+$C$16))-(-0.0037*($C$16)^2+1.152*($C$16)))-((-0.0037*(E15+$C$16)^2+1.152*(E15+$C$16))-(-0.0037*($C$16)^2+1.152*($C$16)))))</f>
        <v>5.230000000000004</v>
      </c>
      <c r="G16" s="201">
        <f t="shared" si="0"/>
        <v>0.756108571428572</v>
      </c>
      <c r="H16" s="201">
        <f t="shared" si="1"/>
        <v>1.134162857142858</v>
      </c>
      <c r="I16" s="201">
        <f t="shared" si="1"/>
        <v>1.512217142857144</v>
      </c>
      <c r="J16" s="201">
        <f t="shared" si="1"/>
        <v>1.89027142857143</v>
      </c>
      <c r="K16" s="201">
        <f t="shared" si="1"/>
        <v>2.268325714285716</v>
      </c>
      <c r="L16" s="201">
        <f t="shared" si="1"/>
        <v>2.646380000000002</v>
      </c>
      <c r="M16" s="202">
        <f t="shared" si="1"/>
        <v>3.024434285714288</v>
      </c>
    </row>
    <row r="17" spans="1:13" ht="15">
      <c r="A17" s="16"/>
      <c r="B17" s="43" t="s">
        <v>30</v>
      </c>
      <c r="C17" s="46"/>
      <c r="D17" s="18"/>
      <c r="E17" s="44">
        <f>IF((E21-4*$C$12)&lt;0,0,(E21-4*$C$12))</f>
        <v>70</v>
      </c>
      <c r="F17" s="126">
        <f aca="true" t="shared" si="2" ref="F17:F23">IF((((-0.0037*(E17+$C$16)^2+1.152*(E17+$C$16))-(-0.0037*($C$16)^2+1.152*($C$16)))-((-0.0037*(E17+$C$16)^2+1.152*(E17+$C$16))-(-0.0037*($C$16)^2+1.152*($C$16))))&lt;0,0,(((-0.0037*(E17+$C$16)^2+1.152*(E17+$C$16))-(-0.0037*($C$16)^2+1.152*($C$16)))-((-0.0037*(E16+$C$16)^2+1.152*(E16+$C$16))-(-0.0037*($C$16)^2+1.152*($C$16)))))</f>
        <v>4.489999999999995</v>
      </c>
      <c r="G17" s="201">
        <f t="shared" si="0"/>
        <v>0.6491257142857135</v>
      </c>
      <c r="H17" s="201">
        <f t="shared" si="1"/>
        <v>0.9736885714285703</v>
      </c>
      <c r="I17" s="201">
        <f t="shared" si="1"/>
        <v>1.298251428571427</v>
      </c>
      <c r="J17" s="201">
        <f t="shared" si="1"/>
        <v>1.6228142857142838</v>
      </c>
      <c r="K17" s="201">
        <f t="shared" si="1"/>
        <v>1.9473771428571407</v>
      </c>
      <c r="L17" s="201">
        <f t="shared" si="1"/>
        <v>2.271939999999997</v>
      </c>
      <c r="M17" s="202">
        <f t="shared" si="1"/>
        <v>2.596502857142854</v>
      </c>
    </row>
    <row r="18" spans="1:13" ht="15.75" thickBot="1">
      <c r="A18" s="16"/>
      <c r="B18" s="17"/>
      <c r="C18" s="18"/>
      <c r="D18" s="18"/>
      <c r="E18" s="44">
        <f>IF((E22-4*$C$12)&lt;0,0,(E22-4*$C$12))</f>
        <v>80</v>
      </c>
      <c r="F18" s="126">
        <f t="shared" si="2"/>
        <v>3.75</v>
      </c>
      <c r="G18" s="201">
        <f t="shared" si="0"/>
        <v>0.5421428571428571</v>
      </c>
      <c r="H18" s="201">
        <f t="shared" si="1"/>
        <v>0.8132142857142857</v>
      </c>
      <c r="I18" s="201">
        <f t="shared" si="1"/>
        <v>1.0842857142857143</v>
      </c>
      <c r="J18" s="201">
        <f t="shared" si="1"/>
        <v>1.355357142857143</v>
      </c>
      <c r="K18" s="201">
        <f t="shared" si="1"/>
        <v>1.6264285714285713</v>
      </c>
      <c r="L18" s="201">
        <f t="shared" si="1"/>
        <v>1.8975</v>
      </c>
      <c r="M18" s="202">
        <f t="shared" si="1"/>
        <v>2.1685714285714286</v>
      </c>
    </row>
    <row r="19" spans="1:13" ht="15.75" thickBot="1">
      <c r="A19" s="16"/>
      <c r="B19" s="54"/>
      <c r="C19" s="48"/>
      <c r="D19" s="49" t="s">
        <v>13</v>
      </c>
      <c r="E19" s="50">
        <f>'Data Entry'!F10</f>
        <v>90</v>
      </c>
      <c r="F19" s="192">
        <f t="shared" si="2"/>
        <v>3.009999999999991</v>
      </c>
      <c r="G19" s="201">
        <f t="shared" si="0"/>
        <v>0.43515999999999866</v>
      </c>
      <c r="H19" s="201">
        <f t="shared" si="1"/>
        <v>0.652739999999998</v>
      </c>
      <c r="I19" s="201">
        <f t="shared" si="1"/>
        <v>0.8703199999999973</v>
      </c>
      <c r="J19" s="201">
        <f t="shared" si="1"/>
        <v>1.0878999999999968</v>
      </c>
      <c r="K19" s="201">
        <f t="shared" si="1"/>
        <v>1.305479999999996</v>
      </c>
      <c r="L19" s="201">
        <f t="shared" si="1"/>
        <v>1.5230599999999954</v>
      </c>
      <c r="M19" s="202">
        <f t="shared" si="1"/>
        <v>1.7406399999999946</v>
      </c>
    </row>
    <row r="20" spans="1:13" ht="15">
      <c r="A20" s="16"/>
      <c r="B20" s="17"/>
      <c r="C20" s="18"/>
      <c r="D20" s="18"/>
      <c r="E20" s="51">
        <f>E19+C12</f>
        <v>100</v>
      </c>
      <c r="F20" s="126">
        <f t="shared" si="2"/>
        <v>2.2700000000000102</v>
      </c>
      <c r="G20" s="201">
        <f t="shared" si="0"/>
        <v>0.32817714285714433</v>
      </c>
      <c r="H20" s="201">
        <f t="shared" si="1"/>
        <v>0.4922657142857165</v>
      </c>
      <c r="I20" s="201">
        <f t="shared" si="1"/>
        <v>0.6563542857142887</v>
      </c>
      <c r="J20" s="201">
        <f t="shared" si="1"/>
        <v>0.8204428571428608</v>
      </c>
      <c r="K20" s="201">
        <f t="shared" si="1"/>
        <v>0.984531428571433</v>
      </c>
      <c r="L20" s="201">
        <f t="shared" si="1"/>
        <v>1.148620000000005</v>
      </c>
      <c r="M20" s="202">
        <f t="shared" si="1"/>
        <v>1.3127085714285773</v>
      </c>
    </row>
    <row r="21" spans="1:13" ht="15">
      <c r="A21" s="16"/>
      <c r="B21" s="17"/>
      <c r="C21" s="18"/>
      <c r="D21" s="18"/>
      <c r="E21" s="51">
        <f>E19+2*C12</f>
        <v>110</v>
      </c>
      <c r="F21" s="126">
        <f t="shared" si="2"/>
        <v>1.5300000000000011</v>
      </c>
      <c r="G21" s="201">
        <f t="shared" si="0"/>
        <v>0.22119428571428587</v>
      </c>
      <c r="H21" s="201">
        <f t="shared" si="1"/>
        <v>0.3317914285714288</v>
      </c>
      <c r="I21" s="201">
        <f t="shared" si="1"/>
        <v>0.44238857142857174</v>
      </c>
      <c r="J21" s="201">
        <f t="shared" si="1"/>
        <v>0.5529857142857147</v>
      </c>
      <c r="K21" s="201">
        <f t="shared" si="1"/>
        <v>0.6635828571428576</v>
      </c>
      <c r="L21" s="201">
        <f t="shared" si="1"/>
        <v>0.7741800000000005</v>
      </c>
      <c r="M21" s="202">
        <f t="shared" si="1"/>
        <v>0.8847771428571435</v>
      </c>
    </row>
    <row r="22" spans="1:13" ht="15">
      <c r="A22" s="16"/>
      <c r="B22" s="17"/>
      <c r="C22" s="18"/>
      <c r="D22" s="18"/>
      <c r="E22" s="51">
        <f>E19+3*C12</f>
        <v>120</v>
      </c>
      <c r="F22" s="126">
        <f t="shared" si="2"/>
        <v>0.789999999999992</v>
      </c>
      <c r="G22" s="201">
        <f t="shared" si="0"/>
        <v>0.11421142857142742</v>
      </c>
      <c r="H22" s="201">
        <f t="shared" si="1"/>
        <v>0.17131714285714114</v>
      </c>
      <c r="I22" s="201">
        <f t="shared" si="1"/>
        <v>0.22842285714285485</v>
      </c>
      <c r="J22" s="201">
        <f t="shared" si="1"/>
        <v>0.2855285714285686</v>
      </c>
      <c r="K22" s="201">
        <f t="shared" si="1"/>
        <v>0.3426342857142823</v>
      </c>
      <c r="L22" s="201">
        <f t="shared" si="1"/>
        <v>0.399739999999996</v>
      </c>
      <c r="M22" s="202">
        <f t="shared" si="1"/>
        <v>0.4568457142857097</v>
      </c>
    </row>
    <row r="23" spans="1:13" ht="15">
      <c r="A23" s="16"/>
      <c r="B23" s="17"/>
      <c r="C23" s="18"/>
      <c r="D23" s="18"/>
      <c r="E23" s="190">
        <f>E19+4*C12</f>
        <v>130</v>
      </c>
      <c r="F23" s="126">
        <f t="shared" si="2"/>
        <v>0.05000000000001137</v>
      </c>
      <c r="G23" s="201">
        <f t="shared" si="0"/>
        <v>0.0072285714285730725</v>
      </c>
      <c r="H23" s="201">
        <f t="shared" si="1"/>
        <v>0.010842857142859609</v>
      </c>
      <c r="I23" s="201">
        <f t="shared" si="1"/>
        <v>0.014457142857146145</v>
      </c>
      <c r="J23" s="201">
        <f t="shared" si="1"/>
        <v>0.01807142857143268</v>
      </c>
      <c r="K23" s="201">
        <f t="shared" si="1"/>
        <v>0.021685714285719217</v>
      </c>
      <c r="L23" s="201">
        <f t="shared" si="1"/>
        <v>0.025300000000005752</v>
      </c>
      <c r="M23" s="202">
        <f t="shared" si="1"/>
        <v>0.02891428571429229</v>
      </c>
    </row>
    <row r="24" spans="1:13" ht="13.5" customHeight="1">
      <c r="A24" s="16"/>
      <c r="B24" s="17"/>
      <c r="C24" s="18"/>
      <c r="D24" s="18"/>
      <c r="E24" s="78" t="s">
        <v>86</v>
      </c>
      <c r="F24" s="121"/>
      <c r="G24" s="121"/>
      <c r="H24" s="121"/>
      <c r="I24" s="12"/>
      <c r="J24" s="80"/>
      <c r="K24" s="195">
        <f>C12</f>
        <v>10</v>
      </c>
      <c r="L24" s="77" t="s">
        <v>30</v>
      </c>
      <c r="M24" s="122"/>
    </row>
    <row r="25" spans="1:13" ht="9.75" customHeight="1">
      <c r="A25" s="16"/>
      <c r="B25" s="17"/>
      <c r="C25" s="18"/>
      <c r="D25" s="18"/>
      <c r="E25" s="78" t="s">
        <v>107</v>
      </c>
      <c r="F25" s="121"/>
      <c r="G25" s="121"/>
      <c r="H25" s="121"/>
      <c r="I25" s="12"/>
      <c r="J25" s="80"/>
      <c r="K25" s="80"/>
      <c r="L25" s="80"/>
      <c r="M25" s="122"/>
    </row>
    <row r="26" spans="1:13" ht="9.75" customHeight="1">
      <c r="A26" s="16"/>
      <c r="B26" s="17"/>
      <c r="C26" s="18"/>
      <c r="D26" s="18"/>
      <c r="E26" s="200" t="s">
        <v>115</v>
      </c>
      <c r="F26" s="12"/>
      <c r="G26" s="121"/>
      <c r="H26" s="121"/>
      <c r="I26" s="121"/>
      <c r="J26" s="121"/>
      <c r="K26" s="121"/>
      <c r="L26" s="121"/>
      <c r="M26" s="122"/>
    </row>
    <row r="27" spans="1:13" ht="9.75" customHeight="1" thickBot="1">
      <c r="A27" s="16"/>
      <c r="B27" s="17"/>
      <c r="C27" s="18"/>
      <c r="D27" s="18"/>
      <c r="E27" s="124"/>
      <c r="F27" s="123"/>
      <c r="G27" s="123"/>
      <c r="H27" s="123"/>
      <c r="I27" s="151"/>
      <c r="J27" s="119"/>
      <c r="K27" s="119"/>
      <c r="L27" s="119"/>
      <c r="M27" s="120"/>
    </row>
    <row r="28" spans="2:13" ht="11.25" customHeight="1" thickBot="1">
      <c r="B28" s="215"/>
      <c r="C28" s="216"/>
      <c r="D28" s="216"/>
      <c r="E28" s="216"/>
      <c r="F28" s="216"/>
      <c r="G28" s="216"/>
      <c r="H28" s="216"/>
      <c r="I28" s="216"/>
      <c r="J28" s="55"/>
      <c r="K28" s="55"/>
      <c r="L28" s="55"/>
      <c r="M28" s="56"/>
    </row>
    <row r="34" ht="12.75">
      <c r="C34" s="138"/>
    </row>
  </sheetData>
  <sheetProtection password="CE5A" sheet="1" objects="1" scenarios="1"/>
  <mergeCells count="10">
    <mergeCell ref="G12:M12"/>
    <mergeCell ref="G13:M13"/>
    <mergeCell ref="B28:I28"/>
    <mergeCell ref="B2:M2"/>
    <mergeCell ref="B3:M3"/>
    <mergeCell ref="B7:C7"/>
    <mergeCell ref="H8:L8"/>
    <mergeCell ref="G5:J5"/>
    <mergeCell ref="D5:F5"/>
    <mergeCell ref="K5:M5"/>
  </mergeCells>
  <conditionalFormatting sqref="G15:M23">
    <cfRule type="cellIs" priority="1" dxfId="2" operator="between" stopIfTrue="1">
      <formula>1.25</formula>
      <formula>1.5</formula>
    </cfRule>
  </conditionalFormatting>
  <hyperlinks>
    <hyperlink ref="D5" location="'Barley (Moist) Crop'!A1" display="Return to Barley (Moist ) as variable"/>
    <hyperlink ref="G5" location="'Barley (Moist) Fertilizer'!A1" display="Go to Fertilizer Price as variable"/>
    <hyperlink ref="K5" location="'Data Entry'!A1" display="Return to Data Entry"/>
  </hyperlink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8"/>
  <sheetViews>
    <sheetView showGridLines="0" workbookViewId="0" topLeftCell="A1">
      <selection activeCell="H21" sqref="H21"/>
    </sheetView>
  </sheetViews>
  <sheetFormatPr defaultColWidth="9.140625" defaultRowHeight="12.75"/>
  <cols>
    <col min="1" max="1" width="1.57421875" style="10" customWidth="1"/>
    <col min="2" max="2" width="17.28125" style="10" customWidth="1"/>
    <col min="3" max="5" width="9.140625" style="10" customWidth="1"/>
    <col min="6" max="6" width="14.421875" style="10" customWidth="1"/>
    <col min="7" max="13" width="9.140625" style="10" customWidth="1"/>
    <col min="14" max="14" width="13.8515625" style="10" customWidth="1"/>
    <col min="15" max="16384" width="9.140625" style="10" customWidth="1"/>
  </cols>
  <sheetData>
    <row r="1" spans="2:9" ht="6" customHeight="1" thickBot="1">
      <c r="B1" s="11"/>
      <c r="C1" s="11"/>
      <c r="D1" s="11"/>
      <c r="E1" s="11"/>
      <c r="F1" s="11"/>
      <c r="G1" s="11"/>
      <c r="H1" s="11"/>
      <c r="I1" s="11"/>
    </row>
    <row r="2" spans="1:13" ht="20.25">
      <c r="A2" s="11"/>
      <c r="B2" s="254" t="s">
        <v>40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6"/>
    </row>
    <row r="3" spans="1:13" ht="20.25">
      <c r="A3" s="11"/>
      <c r="B3" s="257" t="s">
        <v>48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9"/>
    </row>
    <row r="4" spans="1:14" ht="6.75" customHeight="1">
      <c r="A4" s="11"/>
      <c r="B4" s="13"/>
      <c r="C4" s="14"/>
      <c r="D4" s="14"/>
      <c r="E4" s="14"/>
      <c r="F4" s="14"/>
      <c r="G4" s="14"/>
      <c r="H4" s="14"/>
      <c r="I4" s="14"/>
      <c r="J4" s="12"/>
      <c r="K4" s="12"/>
      <c r="L4" s="12"/>
      <c r="M4" s="15"/>
      <c r="N4" s="158"/>
    </row>
    <row r="5" spans="2:13" ht="12.75">
      <c r="B5" s="198"/>
      <c r="C5" s="199"/>
      <c r="D5" s="279" t="s">
        <v>83</v>
      </c>
      <c r="E5" s="280"/>
      <c r="F5" s="280"/>
      <c r="G5" s="279" t="s">
        <v>119</v>
      </c>
      <c r="H5" s="280"/>
      <c r="I5" s="280"/>
      <c r="J5" s="280"/>
      <c r="K5" s="261" t="s">
        <v>96</v>
      </c>
      <c r="L5" s="280"/>
      <c r="M5" s="282"/>
    </row>
    <row r="6" spans="1:14" ht="4.5" customHeight="1" thickBot="1">
      <c r="A6" s="16"/>
      <c r="B6" s="17"/>
      <c r="C6" s="18"/>
      <c r="D6" s="18"/>
      <c r="E6" s="18"/>
      <c r="F6" s="18"/>
      <c r="G6" s="18"/>
      <c r="H6" s="18"/>
      <c r="I6" s="18"/>
      <c r="J6" s="12"/>
      <c r="K6" s="12"/>
      <c r="L6" s="12"/>
      <c r="M6" s="15"/>
      <c r="N6" s="158"/>
    </row>
    <row r="7" spans="1:13" ht="15.75" customHeight="1" thickBot="1">
      <c r="A7" s="16"/>
      <c r="B7" s="234" t="s">
        <v>39</v>
      </c>
      <c r="C7" s="235"/>
      <c r="D7" s="18"/>
      <c r="E7" s="18"/>
      <c r="F7" s="18"/>
      <c r="G7" s="18"/>
      <c r="H7" s="19"/>
      <c r="I7" s="18"/>
      <c r="J7" s="19"/>
      <c r="K7" s="12"/>
      <c r="L7" s="12"/>
      <c r="M7" s="15"/>
    </row>
    <row r="8" spans="1:13" ht="15" customHeight="1">
      <c r="A8" s="16"/>
      <c r="B8" s="87" t="s">
        <v>1</v>
      </c>
      <c r="C8" s="21" t="str">
        <f>'Data Entry'!C7</f>
        <v>UREA</v>
      </c>
      <c r="D8" s="18"/>
      <c r="E8" s="22"/>
      <c r="F8" s="23"/>
      <c r="G8" s="23"/>
      <c r="H8" s="266" t="s">
        <v>22</v>
      </c>
      <c r="I8" s="267"/>
      <c r="J8" s="267"/>
      <c r="K8" s="267"/>
      <c r="L8" s="267"/>
      <c r="M8" s="24"/>
    </row>
    <row r="9" spans="1:13" ht="15">
      <c r="A9" s="16"/>
      <c r="B9" s="20" t="s">
        <v>3</v>
      </c>
      <c r="C9" s="59">
        <f>'Data Entry'!C8</f>
        <v>700</v>
      </c>
      <c r="D9" s="18"/>
      <c r="E9" s="17"/>
      <c r="F9" s="18"/>
      <c r="G9" s="18"/>
      <c r="H9" s="19"/>
      <c r="I9" s="18"/>
      <c r="J9" s="19"/>
      <c r="K9" s="12"/>
      <c r="L9" s="12"/>
      <c r="M9" s="15"/>
    </row>
    <row r="10" spans="1:13" ht="15">
      <c r="A10" s="16"/>
      <c r="B10" s="20" t="s">
        <v>4</v>
      </c>
      <c r="C10" s="25">
        <f>'Data Entry'!C9</f>
        <v>46</v>
      </c>
      <c r="D10" s="18"/>
      <c r="E10" s="17"/>
      <c r="F10" s="18"/>
      <c r="G10" s="26">
        <f>J10-C14*3</f>
        <v>1</v>
      </c>
      <c r="H10" s="26">
        <f>J10-C14*2</f>
        <v>1.5</v>
      </c>
      <c r="I10" s="26">
        <f>J10-C14</f>
        <v>2</v>
      </c>
      <c r="J10" s="27">
        <f>'Data Entry'!F15</f>
        <v>2.5</v>
      </c>
      <c r="K10" s="26">
        <f>J10+C14</f>
        <v>3</v>
      </c>
      <c r="L10" s="26">
        <f>J10+C14*2</f>
        <v>3.5</v>
      </c>
      <c r="M10" s="28">
        <f>J10+C14*3</f>
        <v>4</v>
      </c>
    </row>
    <row r="11" spans="1:13" ht="15">
      <c r="A11" s="16"/>
      <c r="B11" s="20" t="s">
        <v>5</v>
      </c>
      <c r="C11" s="61">
        <f>(C9/((C10/100)*2200))</f>
        <v>0.691699604743083</v>
      </c>
      <c r="D11" s="18"/>
      <c r="E11" s="17"/>
      <c r="F11" s="29"/>
      <c r="G11" s="18"/>
      <c r="H11" s="18"/>
      <c r="I11" s="18"/>
      <c r="J11" s="12"/>
      <c r="K11" s="12"/>
      <c r="L11" s="12"/>
      <c r="M11" s="15"/>
    </row>
    <row r="12" spans="1:13" ht="15">
      <c r="A12" s="16"/>
      <c r="B12" s="30" t="s">
        <v>20</v>
      </c>
      <c r="C12" s="31">
        <f>'Data Entry'!C11</f>
        <v>10</v>
      </c>
      <c r="D12" s="18"/>
      <c r="E12" s="32"/>
      <c r="F12" s="29"/>
      <c r="G12" s="274" t="s">
        <v>111</v>
      </c>
      <c r="H12" s="274"/>
      <c r="I12" s="274"/>
      <c r="J12" s="274"/>
      <c r="K12" s="274"/>
      <c r="L12" s="274"/>
      <c r="M12" s="275"/>
    </row>
    <row r="13" spans="1:13" ht="15.75" thickBot="1">
      <c r="A13" s="16"/>
      <c r="B13" s="33" t="s">
        <v>106</v>
      </c>
      <c r="C13" s="34"/>
      <c r="D13" s="18"/>
      <c r="E13" s="35" t="s">
        <v>9</v>
      </c>
      <c r="F13" s="29" t="s">
        <v>41</v>
      </c>
      <c r="G13" s="219" t="s">
        <v>42</v>
      </c>
      <c r="H13" s="219"/>
      <c r="I13" s="219"/>
      <c r="J13" s="219"/>
      <c r="K13" s="219"/>
      <c r="L13" s="219"/>
      <c r="M13" s="212"/>
    </row>
    <row r="14" spans="1:13" ht="15">
      <c r="A14" s="16"/>
      <c r="B14" s="37" t="s">
        <v>108</v>
      </c>
      <c r="C14" s="38">
        <f>'Data Entry'!C13</f>
        <v>0.5</v>
      </c>
      <c r="D14" s="18"/>
      <c r="E14" s="39" t="s">
        <v>11</v>
      </c>
      <c r="F14" s="191" t="s">
        <v>12</v>
      </c>
      <c r="G14" s="41"/>
      <c r="H14" s="41"/>
      <c r="I14" s="41"/>
      <c r="J14" s="41"/>
      <c r="K14" s="41"/>
      <c r="L14" s="41"/>
      <c r="M14" s="112"/>
    </row>
    <row r="15" spans="1:13" ht="15">
      <c r="A15" s="16"/>
      <c r="B15" s="43" t="s">
        <v>28</v>
      </c>
      <c r="C15" s="34"/>
      <c r="D15" s="18"/>
      <c r="E15" s="44">
        <f>IF((E19-4*$C$12)&lt;0,0,(E19-4*$C$12))</f>
        <v>10</v>
      </c>
      <c r="F15" s="126">
        <f>IF((((-0.0082*(E15+$C$16)^2+1.5595*(E15+$C$16))-(-0.0082*($C$16)^2+1.5595*($C$16)))-((-0.0082*((E15-$C$12)+$C$16)^2+1.5595*((E15-$C$12)+$C$16))-(-0.0082*($C$16)^2+1.5595*($C$16))))&lt;0,0,((-0.0082*(E15+$C$16)^2+1.5595*(E15+$C$16))-(-0.0082*($C$16)^2+1.5595*($C$16)))-((-0.0082*((E15-$C$12)+$C$16)^2+1.5595*((E15-$C$12)+$C$16))-(-0.0082*($C$16)^2+1.5595*($C$16))))</f>
        <v>9.855000000000004</v>
      </c>
      <c r="G15" s="201">
        <f aca="true" t="shared" si="0" ref="G15:M23">($F15*G$10)/($C$12*$C$11)</f>
        <v>1.4247514285714291</v>
      </c>
      <c r="H15" s="201">
        <f t="shared" si="0"/>
        <v>2.137127142857144</v>
      </c>
      <c r="I15" s="201">
        <f t="shared" si="0"/>
        <v>2.8495028571428582</v>
      </c>
      <c r="J15" s="201">
        <f t="shared" si="0"/>
        <v>3.561878571428573</v>
      </c>
      <c r="K15" s="201">
        <f t="shared" si="0"/>
        <v>4.274254285714288</v>
      </c>
      <c r="L15" s="201">
        <f t="shared" si="0"/>
        <v>4.986630000000002</v>
      </c>
      <c r="M15" s="202">
        <f t="shared" si="0"/>
        <v>5.6990057142857165</v>
      </c>
    </row>
    <row r="16" spans="1:13" ht="15">
      <c r="A16" s="16"/>
      <c r="B16" s="37" t="s">
        <v>29</v>
      </c>
      <c r="C16" s="45">
        <f>'Data Entry'!C15</f>
        <v>30</v>
      </c>
      <c r="D16" s="18"/>
      <c r="E16" s="44">
        <f>IF((E20-4*$C$12)&lt;0,0,(E20-4*$C$12))</f>
        <v>20</v>
      </c>
      <c r="F16" s="126">
        <f>IF((((-0.0082*(E16+$C$16)^2+1.5595*(E16+$C$16))-(-0.0082*($C$16)^2+1.5595*($C$16)))-((-0.0082*(E15+$C$16)^2+1.5595*(E15+$C$16))-(-0.0082*($C$16)^2+1.5595*($C$16))))&lt;0,0,((-0.0082*(E16+$C$16)^2+1.5595*(E16+$C$16))-(-0.0082*($C$16)^2+1.5595*($C$16)))-((-0.0082*(E15+$C$16)^2+1.5595*(E15+$C$16))-(-0.0082*($C$16)^2+1.5595*($C$16))))</f>
        <v>8.215000000000003</v>
      </c>
      <c r="G16" s="201">
        <f t="shared" si="0"/>
        <v>1.1876542857142862</v>
      </c>
      <c r="H16" s="201">
        <f t="shared" si="0"/>
        <v>1.7814814285714293</v>
      </c>
      <c r="I16" s="201">
        <f t="shared" si="0"/>
        <v>2.3753085714285724</v>
      </c>
      <c r="J16" s="201">
        <f t="shared" si="0"/>
        <v>2.9691357142857155</v>
      </c>
      <c r="K16" s="201">
        <f t="shared" si="0"/>
        <v>3.5629628571428587</v>
      </c>
      <c r="L16" s="201">
        <f t="shared" si="0"/>
        <v>4.156790000000002</v>
      </c>
      <c r="M16" s="202">
        <f t="shared" si="0"/>
        <v>4.750617142857145</v>
      </c>
    </row>
    <row r="17" spans="1:13" ht="15">
      <c r="A17" s="16"/>
      <c r="B17" s="43" t="s">
        <v>30</v>
      </c>
      <c r="C17" s="46"/>
      <c r="D17" s="18"/>
      <c r="E17" s="44">
        <f>IF((E21-4*$C$12)&lt;0,0,(E21-4*$C$12))</f>
        <v>30</v>
      </c>
      <c r="F17" s="126">
        <f aca="true" t="shared" si="1" ref="F17:F23">IF((((-0.0082*(E17+$C$16)^2+1.5595*(E17+$C$16))-(-0.0082*($C$16)^2+1.5595*($C$16)))-((-0.0082*(E16+$C$16)^2+1.5595*(E16+$C$16))-(-0.0082*($C$16)^2+1.5595*($C$16))))&lt;0,0,((-0.0082*(E17+$C$16)^2+1.5595*(E17+$C$16))-(-0.0082*($C$16)^2+1.5595*($C$16)))-((-0.0082*(E16+$C$16)^2+1.5595*(E16+$C$16))-(-0.0082*($C$16)^2+1.5595*($C$16))))</f>
        <v>6.575000000000003</v>
      </c>
      <c r="G17" s="201">
        <f t="shared" si="0"/>
        <v>0.9505571428571432</v>
      </c>
      <c r="H17" s="201">
        <f t="shared" si="0"/>
        <v>1.425835714285715</v>
      </c>
      <c r="I17" s="201">
        <f t="shared" si="0"/>
        <v>1.9011142857142864</v>
      </c>
      <c r="J17" s="201">
        <f t="shared" si="0"/>
        <v>2.376392857142858</v>
      </c>
      <c r="K17" s="201">
        <f t="shared" si="0"/>
        <v>2.85167142857143</v>
      </c>
      <c r="L17" s="201">
        <f t="shared" si="0"/>
        <v>3.3269500000000014</v>
      </c>
      <c r="M17" s="202">
        <f t="shared" si="0"/>
        <v>3.802228571428573</v>
      </c>
    </row>
    <row r="18" spans="1:13" ht="15.75" thickBot="1">
      <c r="A18" s="16"/>
      <c r="B18" s="17"/>
      <c r="C18" s="18"/>
      <c r="D18" s="18"/>
      <c r="E18" s="44">
        <f>IF((E22-4*$C$12)&lt;0,0,(E22-4*$C$12))</f>
        <v>40</v>
      </c>
      <c r="F18" s="126">
        <f t="shared" si="1"/>
        <v>4.934999999999988</v>
      </c>
      <c r="G18" s="201">
        <f t="shared" si="0"/>
        <v>0.7134599999999983</v>
      </c>
      <c r="H18" s="201">
        <f t="shared" si="0"/>
        <v>1.0701899999999973</v>
      </c>
      <c r="I18" s="201">
        <f t="shared" si="0"/>
        <v>1.4269199999999966</v>
      </c>
      <c r="J18" s="201">
        <f t="shared" si="0"/>
        <v>1.7836499999999957</v>
      </c>
      <c r="K18" s="201">
        <f t="shared" si="0"/>
        <v>2.1403799999999946</v>
      </c>
      <c r="L18" s="201">
        <f t="shared" si="0"/>
        <v>2.497109999999994</v>
      </c>
      <c r="M18" s="202">
        <f t="shared" si="0"/>
        <v>2.8538399999999933</v>
      </c>
    </row>
    <row r="19" spans="1:13" ht="15.75" thickBot="1">
      <c r="A19" s="16"/>
      <c r="B19" s="54"/>
      <c r="C19" s="48"/>
      <c r="D19" s="49" t="s">
        <v>13</v>
      </c>
      <c r="E19" s="50">
        <f>'Data Entry'!G10</f>
        <v>50</v>
      </c>
      <c r="F19" s="126">
        <f t="shared" si="1"/>
        <v>3.2950000000000017</v>
      </c>
      <c r="G19" s="201">
        <f t="shared" si="0"/>
        <v>0.47636285714285737</v>
      </c>
      <c r="H19" s="201">
        <f t="shared" si="0"/>
        <v>0.7145442857142861</v>
      </c>
      <c r="I19" s="201">
        <f t="shared" si="0"/>
        <v>0.9527257142857147</v>
      </c>
      <c r="J19" s="201">
        <f t="shared" si="0"/>
        <v>1.1909071428571434</v>
      </c>
      <c r="K19" s="201">
        <f t="shared" si="0"/>
        <v>1.4290885714285722</v>
      </c>
      <c r="L19" s="201">
        <f t="shared" si="0"/>
        <v>1.667270000000001</v>
      </c>
      <c r="M19" s="202">
        <f t="shared" si="0"/>
        <v>1.9054514285714295</v>
      </c>
    </row>
    <row r="20" spans="1:13" ht="15">
      <c r="A20" s="16"/>
      <c r="B20" s="17"/>
      <c r="C20" s="18"/>
      <c r="D20" s="18"/>
      <c r="E20" s="51">
        <f>E19+C12</f>
        <v>60</v>
      </c>
      <c r="F20" s="126">
        <f t="shared" si="1"/>
        <v>1.6550000000000153</v>
      </c>
      <c r="G20" s="201">
        <f t="shared" si="0"/>
        <v>0.2392657142857165</v>
      </c>
      <c r="H20" s="201">
        <f t="shared" si="0"/>
        <v>0.35889857142857473</v>
      </c>
      <c r="I20" s="201">
        <f t="shared" si="0"/>
        <v>0.478531428571433</v>
      </c>
      <c r="J20" s="201">
        <f t="shared" si="0"/>
        <v>0.5981642857142913</v>
      </c>
      <c r="K20" s="201">
        <f t="shared" si="0"/>
        <v>0.7177971428571495</v>
      </c>
      <c r="L20" s="201">
        <f t="shared" si="0"/>
        <v>0.8374300000000078</v>
      </c>
      <c r="M20" s="202">
        <f t="shared" si="0"/>
        <v>0.957062857142866</v>
      </c>
    </row>
    <row r="21" spans="1:13" ht="15">
      <c r="A21" s="16"/>
      <c r="B21" s="17"/>
      <c r="C21" s="18"/>
      <c r="D21" s="18"/>
      <c r="E21" s="51">
        <f>E19+2*C12</f>
        <v>70</v>
      </c>
      <c r="F21" s="126">
        <f t="shared" si="1"/>
        <v>0.015000000000000568</v>
      </c>
      <c r="G21" s="201">
        <f t="shared" si="0"/>
        <v>0.0021685714285715105</v>
      </c>
      <c r="H21" s="201">
        <f t="shared" si="0"/>
        <v>0.003252857142857266</v>
      </c>
      <c r="I21" s="201">
        <f t="shared" si="0"/>
        <v>0.004337142857143021</v>
      </c>
      <c r="J21" s="201">
        <f t="shared" si="0"/>
        <v>0.0054214285714287765</v>
      </c>
      <c r="K21" s="201">
        <f t="shared" si="0"/>
        <v>0.006505714285714532</v>
      </c>
      <c r="L21" s="201">
        <f t="shared" si="0"/>
        <v>0.0075900000000002875</v>
      </c>
      <c r="M21" s="202">
        <f t="shared" si="0"/>
        <v>0.008674285714286042</v>
      </c>
    </row>
    <row r="22" spans="1:13" ht="15">
      <c r="A22" s="16"/>
      <c r="B22" s="17"/>
      <c r="C22" s="18"/>
      <c r="D22" s="18"/>
      <c r="E22" s="51">
        <f>E19+3*C12</f>
        <v>80</v>
      </c>
      <c r="F22" s="126">
        <f t="shared" si="1"/>
        <v>0</v>
      </c>
      <c r="G22" s="201">
        <f t="shared" si="0"/>
        <v>0</v>
      </c>
      <c r="H22" s="201">
        <f t="shared" si="0"/>
        <v>0</v>
      </c>
      <c r="I22" s="201">
        <f t="shared" si="0"/>
        <v>0</v>
      </c>
      <c r="J22" s="201">
        <f t="shared" si="0"/>
        <v>0</v>
      </c>
      <c r="K22" s="201">
        <f t="shared" si="0"/>
        <v>0</v>
      </c>
      <c r="L22" s="201">
        <f t="shared" si="0"/>
        <v>0</v>
      </c>
      <c r="M22" s="202">
        <f t="shared" si="0"/>
        <v>0</v>
      </c>
    </row>
    <row r="23" spans="1:13" ht="15">
      <c r="A23" s="16"/>
      <c r="B23" s="17"/>
      <c r="C23" s="18"/>
      <c r="D23" s="18"/>
      <c r="E23" s="190">
        <f>E19+4*C12</f>
        <v>90</v>
      </c>
      <c r="F23" s="126">
        <f t="shared" si="1"/>
        <v>0</v>
      </c>
      <c r="G23" s="201">
        <f t="shared" si="0"/>
        <v>0</v>
      </c>
      <c r="H23" s="201">
        <f t="shared" si="0"/>
        <v>0</v>
      </c>
      <c r="I23" s="201">
        <f t="shared" si="0"/>
        <v>0</v>
      </c>
      <c r="J23" s="201">
        <f t="shared" si="0"/>
        <v>0</v>
      </c>
      <c r="K23" s="201">
        <f t="shared" si="0"/>
        <v>0</v>
      </c>
      <c r="L23" s="201">
        <f t="shared" si="0"/>
        <v>0</v>
      </c>
      <c r="M23" s="202">
        <f t="shared" si="0"/>
        <v>0</v>
      </c>
    </row>
    <row r="24" spans="1:13" ht="13.5" customHeight="1">
      <c r="A24" s="16"/>
      <c r="B24" s="17"/>
      <c r="C24" s="18"/>
      <c r="D24" s="18"/>
      <c r="E24" s="78" t="s">
        <v>86</v>
      </c>
      <c r="F24" s="121"/>
      <c r="G24" s="121"/>
      <c r="H24" s="121"/>
      <c r="I24" s="12"/>
      <c r="J24" s="80"/>
      <c r="K24" s="195">
        <f>C12</f>
        <v>10</v>
      </c>
      <c r="L24" s="77" t="s">
        <v>30</v>
      </c>
      <c r="M24" s="122"/>
    </row>
    <row r="25" spans="1:13" ht="9.75" customHeight="1">
      <c r="A25" s="16"/>
      <c r="B25" s="17"/>
      <c r="C25" s="18"/>
      <c r="D25" s="18"/>
      <c r="E25" s="78" t="s">
        <v>107</v>
      </c>
      <c r="F25" s="121"/>
      <c r="G25" s="121"/>
      <c r="H25" s="121"/>
      <c r="I25" s="12"/>
      <c r="J25" s="80"/>
      <c r="K25" s="80"/>
      <c r="L25" s="80"/>
      <c r="M25" s="122"/>
    </row>
    <row r="26" spans="1:13" ht="9.75" customHeight="1">
      <c r="A26" s="16"/>
      <c r="B26" s="17"/>
      <c r="C26" s="18"/>
      <c r="D26" s="18"/>
      <c r="E26" s="200" t="s">
        <v>115</v>
      </c>
      <c r="F26" s="12"/>
      <c r="G26" s="121"/>
      <c r="H26" s="121"/>
      <c r="I26" s="121"/>
      <c r="J26" s="121"/>
      <c r="K26" s="121"/>
      <c r="L26" s="121"/>
      <c r="M26" s="122"/>
    </row>
    <row r="27" spans="1:13" ht="9.75" customHeight="1" thickBot="1">
      <c r="A27" s="16"/>
      <c r="B27" s="17"/>
      <c r="C27" s="18"/>
      <c r="D27" s="18"/>
      <c r="E27" s="124"/>
      <c r="F27" s="123"/>
      <c r="G27" s="123"/>
      <c r="H27" s="123"/>
      <c r="I27" s="151"/>
      <c r="J27" s="119"/>
      <c r="K27" s="119"/>
      <c r="L27" s="119"/>
      <c r="M27" s="120"/>
    </row>
    <row r="28" spans="2:13" ht="11.25" customHeight="1" thickBot="1">
      <c r="B28" s="215"/>
      <c r="C28" s="216"/>
      <c r="D28" s="216"/>
      <c r="E28" s="216"/>
      <c r="F28" s="216"/>
      <c r="G28" s="216"/>
      <c r="H28" s="216"/>
      <c r="I28" s="216"/>
      <c r="J28" s="55"/>
      <c r="K28" s="55"/>
      <c r="L28" s="55"/>
      <c r="M28" s="56"/>
    </row>
  </sheetData>
  <sheetProtection password="CE5A" sheet="1" objects="1" scenarios="1"/>
  <mergeCells count="10">
    <mergeCell ref="B2:M2"/>
    <mergeCell ref="B3:M3"/>
    <mergeCell ref="B7:C7"/>
    <mergeCell ref="B28:I28"/>
    <mergeCell ref="H8:L8"/>
    <mergeCell ref="G12:M12"/>
    <mergeCell ref="G13:M13"/>
    <mergeCell ref="G5:J5"/>
    <mergeCell ref="D5:F5"/>
    <mergeCell ref="K5:M5"/>
  </mergeCells>
  <conditionalFormatting sqref="G15:M23">
    <cfRule type="cellIs" priority="1" dxfId="2" operator="between" stopIfTrue="1">
      <formula>1.25</formula>
      <formula>1.5</formula>
    </cfRule>
  </conditionalFormatting>
  <hyperlinks>
    <hyperlink ref="D5" location="'Barley (Dry) Crop'!A1" display="Return to Barley (Dry) as variable"/>
    <hyperlink ref="G5" location="'Barley (Dry) Fertilizer'!A1" display="Go to Fertilizer Price as variable"/>
    <hyperlink ref="K5" location="'Data Entry'!A1" display="Return to Data Entry"/>
  </hyperlink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8"/>
  <sheetViews>
    <sheetView showGridLines="0" workbookViewId="0" topLeftCell="A1">
      <selection activeCell="G20" sqref="G20"/>
    </sheetView>
  </sheetViews>
  <sheetFormatPr defaultColWidth="9.140625" defaultRowHeight="12.75"/>
  <cols>
    <col min="1" max="1" width="1.57421875" style="10" customWidth="1"/>
    <col min="2" max="2" width="17.28125" style="10" customWidth="1"/>
    <col min="3" max="5" width="9.140625" style="10" customWidth="1"/>
    <col min="6" max="6" width="13.140625" style="10" customWidth="1"/>
    <col min="7" max="13" width="9.140625" style="10" customWidth="1"/>
    <col min="14" max="14" width="12.28125" style="10" customWidth="1"/>
    <col min="15" max="16384" width="9.140625" style="10" customWidth="1"/>
  </cols>
  <sheetData>
    <row r="1" spans="2:9" ht="6" customHeight="1" thickBot="1">
      <c r="B1" s="11"/>
      <c r="C1" s="11"/>
      <c r="D1" s="11"/>
      <c r="E1" s="11"/>
      <c r="F1" s="11"/>
      <c r="G1" s="11"/>
      <c r="H1" s="11"/>
      <c r="I1" s="11"/>
    </row>
    <row r="2" spans="1:13" ht="20.25">
      <c r="A2" s="11"/>
      <c r="B2" s="254" t="s">
        <v>40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6"/>
    </row>
    <row r="3" spans="1:13" ht="20.25">
      <c r="A3" s="11"/>
      <c r="B3" s="257" t="s">
        <v>49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9"/>
    </row>
    <row r="4" spans="1:14" ht="6.75" customHeight="1">
      <c r="A4" s="11"/>
      <c r="B4" s="13"/>
      <c r="C4" s="14"/>
      <c r="D4" s="14"/>
      <c r="E4" s="14"/>
      <c r="F4" s="14"/>
      <c r="G4" s="14"/>
      <c r="H4" s="14"/>
      <c r="I4" s="14"/>
      <c r="J4" s="12"/>
      <c r="K4" s="12"/>
      <c r="L4" s="12"/>
      <c r="M4" s="15"/>
      <c r="N4" s="158"/>
    </row>
    <row r="5" spans="2:13" ht="12.75">
      <c r="B5" s="198"/>
      <c r="C5" s="199"/>
      <c r="D5" s="279" t="s">
        <v>80</v>
      </c>
      <c r="E5" s="280"/>
      <c r="F5" s="280"/>
      <c r="G5" s="279" t="s">
        <v>119</v>
      </c>
      <c r="H5" s="280"/>
      <c r="I5" s="280"/>
      <c r="J5" s="280"/>
      <c r="K5" s="261" t="s">
        <v>96</v>
      </c>
      <c r="L5" s="260"/>
      <c r="M5" s="262"/>
    </row>
    <row r="6" spans="1:14" ht="4.5" customHeight="1" thickBot="1">
      <c r="A6" s="16"/>
      <c r="B6" s="17"/>
      <c r="C6" s="18"/>
      <c r="D6" s="18"/>
      <c r="E6" s="18"/>
      <c r="F6" s="18"/>
      <c r="G6" s="18"/>
      <c r="H6" s="18"/>
      <c r="I6" s="18"/>
      <c r="J6" s="12"/>
      <c r="K6" s="12"/>
      <c r="L6" s="12"/>
      <c r="M6" s="15"/>
      <c r="N6" s="158"/>
    </row>
    <row r="7" spans="1:14" ht="15.75" customHeight="1" thickBot="1">
      <c r="A7" s="16"/>
      <c r="B7" s="234" t="s">
        <v>39</v>
      </c>
      <c r="C7" s="235"/>
      <c r="D7" s="18"/>
      <c r="E7" s="18"/>
      <c r="F7" s="18"/>
      <c r="G7" s="18"/>
      <c r="H7" s="19"/>
      <c r="I7" s="18"/>
      <c r="J7" s="19"/>
      <c r="K7" s="12"/>
      <c r="L7" s="12"/>
      <c r="M7" s="15"/>
      <c r="N7" s="158"/>
    </row>
    <row r="8" spans="1:13" ht="15" customHeight="1">
      <c r="A8" s="16"/>
      <c r="B8" s="87" t="s">
        <v>1</v>
      </c>
      <c r="C8" s="21" t="str">
        <f>'Data Entry'!C7</f>
        <v>UREA</v>
      </c>
      <c r="D8" s="18"/>
      <c r="E8" s="22"/>
      <c r="F8" s="23"/>
      <c r="G8" s="23"/>
      <c r="H8" s="266" t="s">
        <v>22</v>
      </c>
      <c r="I8" s="267"/>
      <c r="J8" s="267"/>
      <c r="K8" s="267"/>
      <c r="L8" s="267"/>
      <c r="M8" s="24"/>
    </row>
    <row r="9" spans="1:13" ht="15">
      <c r="A9" s="16"/>
      <c r="B9" s="20" t="s">
        <v>3</v>
      </c>
      <c r="C9" s="59">
        <f>'Data Entry'!C8</f>
        <v>700</v>
      </c>
      <c r="D9" s="18"/>
      <c r="E9" s="17"/>
      <c r="F9" s="18"/>
      <c r="G9" s="18"/>
      <c r="H9" s="19"/>
      <c r="I9" s="18"/>
      <c r="J9" s="19"/>
      <c r="K9" s="12"/>
      <c r="L9" s="12"/>
      <c r="M9" s="15"/>
    </row>
    <row r="10" spans="1:13" ht="15">
      <c r="A10" s="16"/>
      <c r="B10" s="20" t="s">
        <v>4</v>
      </c>
      <c r="C10" s="25">
        <f>'Data Entry'!C9</f>
        <v>46</v>
      </c>
      <c r="D10" s="18"/>
      <c r="E10" s="17"/>
      <c r="F10" s="18"/>
      <c r="G10" s="26">
        <f>J10-C14*3</f>
        <v>1</v>
      </c>
      <c r="H10" s="26">
        <f>J10-C14*2</f>
        <v>1.5</v>
      </c>
      <c r="I10" s="26">
        <f>J10-C14</f>
        <v>2</v>
      </c>
      <c r="J10" s="27">
        <f>'Data Entry'!F15</f>
        <v>2.5</v>
      </c>
      <c r="K10" s="26">
        <f>J10+C14</f>
        <v>3</v>
      </c>
      <c r="L10" s="26">
        <f>J10+C14*2</f>
        <v>3.5</v>
      </c>
      <c r="M10" s="28">
        <f>J10+C14*3</f>
        <v>4</v>
      </c>
    </row>
    <row r="11" spans="1:13" ht="15">
      <c r="A11" s="16"/>
      <c r="B11" s="20" t="s">
        <v>5</v>
      </c>
      <c r="C11" s="61">
        <f>(C9/((C10/100)*2200))</f>
        <v>0.691699604743083</v>
      </c>
      <c r="D11" s="18"/>
      <c r="E11" s="17"/>
      <c r="F11" s="29"/>
      <c r="G11" s="18"/>
      <c r="H11" s="18"/>
      <c r="I11" s="18"/>
      <c r="J11" s="12"/>
      <c r="K11" s="12"/>
      <c r="L11" s="12"/>
      <c r="M11" s="15"/>
    </row>
    <row r="12" spans="1:13" ht="15">
      <c r="A12" s="16"/>
      <c r="B12" s="30" t="s">
        <v>20</v>
      </c>
      <c r="C12" s="31">
        <f>'Data Entry'!C11</f>
        <v>10</v>
      </c>
      <c r="D12" s="18"/>
      <c r="E12" s="32"/>
      <c r="F12" s="29"/>
      <c r="G12" s="274" t="s">
        <v>111</v>
      </c>
      <c r="H12" s="274"/>
      <c r="I12" s="274"/>
      <c r="J12" s="274"/>
      <c r="K12" s="274"/>
      <c r="L12" s="274"/>
      <c r="M12" s="275"/>
    </row>
    <row r="13" spans="1:13" ht="15.75" thickBot="1">
      <c r="A13" s="16"/>
      <c r="B13" s="33" t="s">
        <v>106</v>
      </c>
      <c r="C13" s="34"/>
      <c r="D13" s="18"/>
      <c r="E13" s="35" t="s">
        <v>9</v>
      </c>
      <c r="F13" s="36" t="s">
        <v>41</v>
      </c>
      <c r="G13" s="219" t="s">
        <v>42</v>
      </c>
      <c r="H13" s="219"/>
      <c r="I13" s="219"/>
      <c r="J13" s="219"/>
      <c r="K13" s="219"/>
      <c r="L13" s="219"/>
      <c r="M13" s="212"/>
    </row>
    <row r="14" spans="1:13" ht="15">
      <c r="A14" s="16"/>
      <c r="B14" s="37" t="s">
        <v>108</v>
      </c>
      <c r="C14" s="38">
        <f>'Data Entry'!C13</f>
        <v>0.5</v>
      </c>
      <c r="D14" s="18"/>
      <c r="E14" s="39" t="s">
        <v>11</v>
      </c>
      <c r="F14" s="164" t="s">
        <v>12</v>
      </c>
      <c r="G14" s="41"/>
      <c r="H14" s="41"/>
      <c r="I14" s="41"/>
      <c r="J14" s="41"/>
      <c r="K14" s="41"/>
      <c r="L14" s="41"/>
      <c r="M14" s="112"/>
    </row>
    <row r="15" spans="1:13" ht="15">
      <c r="A15" s="16"/>
      <c r="B15" s="43" t="s">
        <v>28</v>
      </c>
      <c r="C15" s="34"/>
      <c r="D15" s="18"/>
      <c r="E15" s="190">
        <f>IF((E19-4*$C$12)&lt;0,0,(E19-4*$C$12))</f>
        <v>0</v>
      </c>
      <c r="F15" s="126">
        <f>IF((((-0.0032*(E15+$C$16)^2+0.6709*(E15+$C$16))-(-0.0032*($C$16)^2+0.6709*($C$16)))-((-0.0032*((E15-$C$12)+$C$16)^2+0.6709*((E15-$C$12)+$C$16))-(-0.0032*($C$16)^2+0.6709*($C$16))))&lt;0,0,(-0.0032*(E15+$C$16)^2+0.6709*(E15+$C$16))-(-0.0032*($C$16)^2+0.6709*($C$16))-((-0.0032*((E15-$C$12)+$C$16)^2+0.6709*((E15-$C$12)+$C$16))-(-0.0032*($C$16)^2+0.6709*($C$16))))</f>
        <v>5.109000000000002</v>
      </c>
      <c r="G15" s="201">
        <f aca="true" t="shared" si="0" ref="G15:M23">($F15*G$10)/($C$12*$C$11)</f>
        <v>0.7386154285714288</v>
      </c>
      <c r="H15" s="201">
        <f t="shared" si="0"/>
        <v>1.1079231428571432</v>
      </c>
      <c r="I15" s="201">
        <f t="shared" si="0"/>
        <v>1.4772308571428576</v>
      </c>
      <c r="J15" s="201">
        <f t="shared" si="0"/>
        <v>1.846538571428572</v>
      </c>
      <c r="K15" s="201">
        <f t="shared" si="0"/>
        <v>2.2158462857142864</v>
      </c>
      <c r="L15" s="201">
        <f t="shared" si="0"/>
        <v>2.585154000000001</v>
      </c>
      <c r="M15" s="202">
        <f t="shared" si="0"/>
        <v>2.9544617142857152</v>
      </c>
    </row>
    <row r="16" spans="1:13" ht="15">
      <c r="A16" s="16"/>
      <c r="B16" s="37" t="s">
        <v>29</v>
      </c>
      <c r="C16" s="45">
        <f>'Data Entry'!C15</f>
        <v>30</v>
      </c>
      <c r="D16" s="18"/>
      <c r="E16" s="190">
        <f>IF((E20-4*$C$12)&lt;0,0,(E20-4*$C$12))</f>
        <v>10</v>
      </c>
      <c r="F16" s="126">
        <f>IF((((-0.0032*(E16+$C$16)^2+0.6709*(E16+$C$16))-(-0.0032*($C$16)^2+0.6709*($C$16)))-((-0.0032*(E15+$C$16)^2+0.6709*(E15+$C$16))-(-0.0032*($C$16)^2+0.6709*($C$16))))&lt;0,0,(-0.0032*(E16+$C$16)^2+0.6709*(E16+$C$16))-(-0.0032*($C$16)^2+0.6709*($C$16))-((-0.0032*(E15+$C$16)^2+0.6709*(E15+$C$16))-(-0.0032*($C$16)^2+0.6709*($C$16))))</f>
        <v>4.468999999999998</v>
      </c>
      <c r="G16" s="201">
        <f t="shared" si="0"/>
        <v>0.6460897142857139</v>
      </c>
      <c r="H16" s="201">
        <f t="shared" si="0"/>
        <v>0.969134571428571</v>
      </c>
      <c r="I16" s="201">
        <f t="shared" si="0"/>
        <v>1.2921794285714279</v>
      </c>
      <c r="J16" s="201">
        <f t="shared" si="0"/>
        <v>1.615224285714285</v>
      </c>
      <c r="K16" s="201">
        <f t="shared" si="0"/>
        <v>1.938269142857142</v>
      </c>
      <c r="L16" s="201">
        <f t="shared" si="0"/>
        <v>2.2613139999999987</v>
      </c>
      <c r="M16" s="202">
        <f t="shared" si="0"/>
        <v>2.5843588571428557</v>
      </c>
    </row>
    <row r="17" spans="1:13" ht="15">
      <c r="A17" s="16"/>
      <c r="B17" s="43" t="s">
        <v>30</v>
      </c>
      <c r="C17" s="46"/>
      <c r="D17" s="18"/>
      <c r="E17" s="190">
        <f>IF((E21-4*$C$12)&lt;0,0,(E21-4*$C$12))</f>
        <v>20</v>
      </c>
      <c r="F17" s="126">
        <f aca="true" t="shared" si="1" ref="F17:F23">IF((((-0.0032*(E17+$C$16)^2+0.6709*(E17+$C$16))-(-0.0032*($C$16)^2+0.6709*($C$16)))-((-0.0032*(E16+$C$16)^2+0.6709*(E16+$C$16))-(-0.0032*($C$16)^2+0.6709*($C$16))))&lt;0,0,(-0.0032*(E17+$C$16)^2+0.6709*(E17+$C$16))-(-0.0032*($C$16)^2+0.6709*($C$16))-((-0.0032*(E16+$C$16)^2+0.6709*(E16+$C$16))-(-0.0032*($C$16)^2+0.6709*($C$16))))</f>
        <v>3.8290000000000006</v>
      </c>
      <c r="G17" s="201">
        <f t="shared" si="0"/>
        <v>0.5535640000000001</v>
      </c>
      <c r="H17" s="201">
        <f t="shared" si="0"/>
        <v>0.8303460000000001</v>
      </c>
      <c r="I17" s="201">
        <f t="shared" si="0"/>
        <v>1.1071280000000001</v>
      </c>
      <c r="J17" s="201">
        <f t="shared" si="0"/>
        <v>1.3839100000000002</v>
      </c>
      <c r="K17" s="201">
        <f t="shared" si="0"/>
        <v>1.6606920000000003</v>
      </c>
      <c r="L17" s="201">
        <f t="shared" si="0"/>
        <v>1.9374740000000004</v>
      </c>
      <c r="M17" s="202">
        <f t="shared" si="0"/>
        <v>2.2142560000000002</v>
      </c>
    </row>
    <row r="18" spans="1:13" ht="15.75" thickBot="1">
      <c r="A18" s="16"/>
      <c r="B18" s="17"/>
      <c r="C18" s="18"/>
      <c r="D18" s="18"/>
      <c r="E18" s="193">
        <f>IF((E22-4*$C$12)&lt;0,0,(E22-4*$C$12))</f>
        <v>30</v>
      </c>
      <c r="F18" s="126">
        <f t="shared" si="1"/>
        <v>3.189</v>
      </c>
      <c r="G18" s="201">
        <f t="shared" si="0"/>
        <v>0.46103828571428573</v>
      </c>
      <c r="H18" s="201">
        <f t="shared" si="0"/>
        <v>0.6915574285714285</v>
      </c>
      <c r="I18" s="201">
        <f t="shared" si="0"/>
        <v>0.9220765714285715</v>
      </c>
      <c r="J18" s="201">
        <f t="shared" si="0"/>
        <v>1.1525957142857144</v>
      </c>
      <c r="K18" s="201">
        <f t="shared" si="0"/>
        <v>1.383114857142857</v>
      </c>
      <c r="L18" s="201">
        <f t="shared" si="0"/>
        <v>1.613634</v>
      </c>
      <c r="M18" s="202">
        <f t="shared" si="0"/>
        <v>1.844153142857143</v>
      </c>
    </row>
    <row r="19" spans="1:13" ht="15.75" thickBot="1">
      <c r="A19" s="16"/>
      <c r="B19" s="54"/>
      <c r="C19" s="48"/>
      <c r="D19" s="49" t="s">
        <v>13</v>
      </c>
      <c r="E19" s="50">
        <f>'Data Entry'!H10</f>
        <v>40</v>
      </c>
      <c r="F19" s="192">
        <f t="shared" si="1"/>
        <v>2.5489999999999995</v>
      </c>
      <c r="G19" s="201">
        <f t="shared" si="0"/>
        <v>0.36851257142857136</v>
      </c>
      <c r="H19" s="201">
        <f t="shared" si="0"/>
        <v>0.5527688571428571</v>
      </c>
      <c r="I19" s="201">
        <f t="shared" si="0"/>
        <v>0.7370251428571427</v>
      </c>
      <c r="J19" s="201">
        <f t="shared" si="0"/>
        <v>0.9212814285714284</v>
      </c>
      <c r="K19" s="201">
        <f t="shared" si="0"/>
        <v>1.1055377142857141</v>
      </c>
      <c r="L19" s="201">
        <f t="shared" si="0"/>
        <v>1.2897939999999997</v>
      </c>
      <c r="M19" s="202">
        <f t="shared" si="0"/>
        <v>1.4740502857142854</v>
      </c>
    </row>
    <row r="20" spans="1:13" ht="15">
      <c r="A20" s="16"/>
      <c r="B20" s="17"/>
      <c r="C20" s="18"/>
      <c r="D20" s="18"/>
      <c r="E20" s="194">
        <f>E19+C12</f>
        <v>50</v>
      </c>
      <c r="F20" s="126">
        <f t="shared" si="1"/>
        <v>1.909000000000006</v>
      </c>
      <c r="G20" s="201">
        <f t="shared" si="0"/>
        <v>0.27598685714285803</v>
      </c>
      <c r="H20" s="201">
        <f t="shared" si="0"/>
        <v>0.413980285714287</v>
      </c>
      <c r="I20" s="201">
        <f t="shared" si="0"/>
        <v>0.5519737142857161</v>
      </c>
      <c r="J20" s="201">
        <f t="shared" si="0"/>
        <v>0.689967142857145</v>
      </c>
      <c r="K20" s="201">
        <f t="shared" si="0"/>
        <v>0.827960571428574</v>
      </c>
      <c r="L20" s="201">
        <f t="shared" si="0"/>
        <v>0.9659540000000031</v>
      </c>
      <c r="M20" s="202">
        <f t="shared" si="0"/>
        <v>1.1039474285714321</v>
      </c>
    </row>
    <row r="21" spans="1:13" ht="15">
      <c r="A21" s="16"/>
      <c r="B21" s="17"/>
      <c r="C21" s="18"/>
      <c r="D21" s="18"/>
      <c r="E21" s="190">
        <f>E19+2*C12</f>
        <v>60</v>
      </c>
      <c r="F21" s="126">
        <f t="shared" si="1"/>
        <v>1.2689999999999984</v>
      </c>
      <c r="G21" s="201">
        <f t="shared" si="0"/>
        <v>0.18346114285714263</v>
      </c>
      <c r="H21" s="201">
        <f t="shared" si="0"/>
        <v>0.27519171428571393</v>
      </c>
      <c r="I21" s="201">
        <f t="shared" si="0"/>
        <v>0.36692228571428526</v>
      </c>
      <c r="J21" s="201">
        <f t="shared" si="0"/>
        <v>0.45865285714285653</v>
      </c>
      <c r="K21" s="201">
        <f t="shared" si="0"/>
        <v>0.5503834285714279</v>
      </c>
      <c r="L21" s="201">
        <f t="shared" si="0"/>
        <v>0.6421139999999992</v>
      </c>
      <c r="M21" s="202">
        <f t="shared" si="0"/>
        <v>0.7338445714285705</v>
      </c>
    </row>
    <row r="22" spans="1:13" ht="15">
      <c r="A22" s="16"/>
      <c r="B22" s="17"/>
      <c r="C22" s="18"/>
      <c r="D22" s="18"/>
      <c r="E22" s="190">
        <f>E19+3*C12</f>
        <v>70</v>
      </c>
      <c r="F22" s="126">
        <f t="shared" si="1"/>
        <v>0.6289999999999978</v>
      </c>
      <c r="G22" s="201">
        <f t="shared" si="0"/>
        <v>0.09093542857142825</v>
      </c>
      <c r="H22" s="201">
        <f t="shared" si="0"/>
        <v>0.13640314285714236</v>
      </c>
      <c r="I22" s="201">
        <f t="shared" si="0"/>
        <v>0.1818708571428565</v>
      </c>
      <c r="J22" s="201">
        <f t="shared" si="0"/>
        <v>0.2273385714285706</v>
      </c>
      <c r="K22" s="201">
        <f t="shared" si="0"/>
        <v>0.2728062857142847</v>
      </c>
      <c r="L22" s="201">
        <f t="shared" si="0"/>
        <v>0.3182739999999989</v>
      </c>
      <c r="M22" s="202">
        <f t="shared" si="0"/>
        <v>0.363741714285713</v>
      </c>
    </row>
    <row r="23" spans="1:13" ht="15">
      <c r="A23" s="16"/>
      <c r="B23" s="17"/>
      <c r="C23" s="18"/>
      <c r="D23" s="18"/>
      <c r="E23" s="190">
        <f>E19+4*C12</f>
        <v>80</v>
      </c>
      <c r="F23" s="126">
        <f t="shared" si="1"/>
        <v>0</v>
      </c>
      <c r="G23" s="201">
        <f t="shared" si="0"/>
        <v>0</v>
      </c>
      <c r="H23" s="201">
        <f t="shared" si="0"/>
        <v>0</v>
      </c>
      <c r="I23" s="201">
        <f t="shared" si="0"/>
        <v>0</v>
      </c>
      <c r="J23" s="201">
        <f t="shared" si="0"/>
        <v>0</v>
      </c>
      <c r="K23" s="201">
        <f t="shared" si="0"/>
        <v>0</v>
      </c>
      <c r="L23" s="201">
        <f t="shared" si="0"/>
        <v>0</v>
      </c>
      <c r="M23" s="202">
        <f t="shared" si="0"/>
        <v>0</v>
      </c>
    </row>
    <row r="24" spans="1:13" ht="13.5" customHeight="1">
      <c r="A24" s="16"/>
      <c r="B24" s="17"/>
      <c r="C24" s="18"/>
      <c r="D24" s="18"/>
      <c r="E24" s="78" t="s">
        <v>86</v>
      </c>
      <c r="F24" s="121"/>
      <c r="G24" s="121"/>
      <c r="H24" s="121"/>
      <c r="I24" s="12"/>
      <c r="J24" s="80"/>
      <c r="K24" s="195">
        <f>C12</f>
        <v>10</v>
      </c>
      <c r="L24" s="77" t="s">
        <v>30</v>
      </c>
      <c r="M24" s="122"/>
    </row>
    <row r="25" spans="1:13" ht="9.75" customHeight="1">
      <c r="A25" s="16"/>
      <c r="B25" s="17"/>
      <c r="C25" s="18"/>
      <c r="D25" s="18"/>
      <c r="E25" s="78" t="s">
        <v>107</v>
      </c>
      <c r="F25" s="121"/>
      <c r="G25" s="121"/>
      <c r="H25" s="121"/>
      <c r="I25" s="12"/>
      <c r="J25" s="80"/>
      <c r="K25" s="80"/>
      <c r="L25" s="80"/>
      <c r="M25" s="122"/>
    </row>
    <row r="26" spans="1:13" ht="9.75" customHeight="1">
      <c r="A26" s="16"/>
      <c r="B26" s="17"/>
      <c r="C26" s="18"/>
      <c r="D26" s="18"/>
      <c r="E26" s="200" t="s">
        <v>115</v>
      </c>
      <c r="F26" s="12"/>
      <c r="G26" s="121"/>
      <c r="H26" s="121"/>
      <c r="I26" s="121"/>
      <c r="J26" s="121"/>
      <c r="K26" s="121"/>
      <c r="L26" s="121"/>
      <c r="M26" s="122"/>
    </row>
    <row r="27" spans="1:13" ht="9.75" customHeight="1" thickBot="1">
      <c r="A27" s="16"/>
      <c r="B27" s="17"/>
      <c r="C27" s="18"/>
      <c r="D27" s="18"/>
      <c r="E27" s="124"/>
      <c r="F27" s="123"/>
      <c r="G27" s="123"/>
      <c r="H27" s="123"/>
      <c r="I27" s="151"/>
      <c r="J27" s="119"/>
      <c r="K27" s="119"/>
      <c r="L27" s="119"/>
      <c r="M27" s="120"/>
    </row>
    <row r="28" spans="2:13" ht="11.25" customHeight="1" thickBot="1">
      <c r="B28" s="215"/>
      <c r="C28" s="216"/>
      <c r="D28" s="216"/>
      <c r="E28" s="216"/>
      <c r="F28" s="216"/>
      <c r="G28" s="216"/>
      <c r="H28" s="216"/>
      <c r="I28" s="216"/>
      <c r="J28" s="55"/>
      <c r="K28" s="55"/>
      <c r="L28" s="55"/>
      <c r="M28" s="56"/>
    </row>
  </sheetData>
  <sheetProtection password="CE5A" sheet="1" objects="1" scenarios="1"/>
  <mergeCells count="10">
    <mergeCell ref="B2:M2"/>
    <mergeCell ref="B3:M3"/>
    <mergeCell ref="B7:C7"/>
    <mergeCell ref="B28:I28"/>
    <mergeCell ref="H8:L8"/>
    <mergeCell ref="G12:M12"/>
    <mergeCell ref="G13:M13"/>
    <mergeCell ref="G5:J5"/>
    <mergeCell ref="D5:F5"/>
    <mergeCell ref="K5:M5"/>
  </mergeCells>
  <conditionalFormatting sqref="G15:M23">
    <cfRule type="cellIs" priority="1" dxfId="2" operator="between" stopIfTrue="1">
      <formula>1.25</formula>
      <formula>1.5</formula>
    </cfRule>
  </conditionalFormatting>
  <hyperlinks>
    <hyperlink ref="D5" location="'Barley (Arid) Crop'!A1" display="Return to Barley (Arid) as variable"/>
    <hyperlink ref="G5" location="'Barley (Arid) Fertilizer'!A1" display="Go to Fertilizer Price as variable"/>
    <hyperlink ref="K5" location="'Data Entry'!A1" display="Return to Data Entry"/>
  </hyperlink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8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1.57421875" style="10" customWidth="1"/>
    <col min="2" max="2" width="16.57421875" style="10" customWidth="1"/>
    <col min="3" max="5" width="9.140625" style="10" customWidth="1"/>
    <col min="6" max="6" width="10.8515625" style="10" customWidth="1"/>
    <col min="7" max="13" width="9.140625" style="10" customWidth="1"/>
    <col min="14" max="14" width="15.421875" style="10" customWidth="1"/>
    <col min="15" max="16384" width="9.140625" style="10" customWidth="1"/>
  </cols>
  <sheetData>
    <row r="1" spans="1:9" ht="6" customHeight="1" thickBot="1">
      <c r="A1" s="158"/>
      <c r="B1" s="11"/>
      <c r="C1" s="11"/>
      <c r="D1" s="11"/>
      <c r="E1" s="11"/>
      <c r="F1" s="11"/>
      <c r="G1" s="11"/>
      <c r="H1" s="11"/>
      <c r="I1" s="11"/>
    </row>
    <row r="2" spans="1:13" ht="20.25">
      <c r="A2" s="11"/>
      <c r="B2" s="254" t="s">
        <v>40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6"/>
    </row>
    <row r="3" spans="1:13" ht="20.25">
      <c r="A3" s="11"/>
      <c r="B3" s="257" t="s">
        <v>65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9"/>
    </row>
    <row r="4" spans="1:14" ht="6.75" customHeight="1">
      <c r="A4" s="11"/>
      <c r="B4" s="13"/>
      <c r="C4" s="14"/>
      <c r="D4" s="14"/>
      <c r="E4" s="14"/>
      <c r="F4" s="14"/>
      <c r="G4" s="14"/>
      <c r="H4" s="14"/>
      <c r="I4" s="14"/>
      <c r="J4" s="12"/>
      <c r="K4" s="12"/>
      <c r="L4" s="12"/>
      <c r="M4" s="15"/>
      <c r="N4" s="158"/>
    </row>
    <row r="5" spans="2:13" ht="12.75">
      <c r="B5" s="198"/>
      <c r="C5" s="199"/>
      <c r="D5" s="279" t="s">
        <v>97</v>
      </c>
      <c r="E5" s="280"/>
      <c r="F5" s="280"/>
      <c r="G5" s="279" t="s">
        <v>119</v>
      </c>
      <c r="H5" s="280"/>
      <c r="I5" s="280"/>
      <c r="J5" s="280"/>
      <c r="K5" s="261" t="s">
        <v>96</v>
      </c>
      <c r="L5" s="260"/>
      <c r="M5" s="262"/>
    </row>
    <row r="6" spans="1:14" ht="4.5" customHeight="1" thickBot="1">
      <c r="A6" s="16"/>
      <c r="B6" s="17"/>
      <c r="C6" s="18"/>
      <c r="D6" s="18"/>
      <c r="E6" s="18"/>
      <c r="F6" s="18"/>
      <c r="G6" s="18"/>
      <c r="H6" s="18"/>
      <c r="I6" s="18"/>
      <c r="J6" s="12"/>
      <c r="K6" s="12"/>
      <c r="L6" s="12"/>
      <c r="M6" s="15"/>
      <c r="N6" s="158"/>
    </row>
    <row r="7" spans="1:14" ht="15.75" customHeight="1" thickBot="1">
      <c r="A7" s="16"/>
      <c r="B7" s="234" t="s">
        <v>39</v>
      </c>
      <c r="C7" s="235"/>
      <c r="D7" s="18"/>
      <c r="E7" s="18"/>
      <c r="F7" s="18"/>
      <c r="G7" s="18"/>
      <c r="H7" s="19"/>
      <c r="I7" s="18"/>
      <c r="J7" s="19"/>
      <c r="K7" s="12"/>
      <c r="L7" s="12"/>
      <c r="M7" s="15"/>
      <c r="N7" s="158"/>
    </row>
    <row r="8" spans="1:13" ht="15" customHeight="1">
      <c r="A8" s="16"/>
      <c r="B8" s="87" t="s">
        <v>1</v>
      </c>
      <c r="C8" s="21" t="str">
        <f>'Data Entry'!C7</f>
        <v>UREA</v>
      </c>
      <c r="D8" s="18"/>
      <c r="E8" s="22"/>
      <c r="F8" s="23"/>
      <c r="G8" s="23"/>
      <c r="H8" s="266" t="s">
        <v>26</v>
      </c>
      <c r="I8" s="267"/>
      <c r="J8" s="267"/>
      <c r="K8" s="267"/>
      <c r="L8" s="267"/>
      <c r="M8" s="24"/>
    </row>
    <row r="9" spans="1:13" ht="15">
      <c r="A9" s="16"/>
      <c r="B9" s="20" t="s">
        <v>3</v>
      </c>
      <c r="C9" s="59">
        <f>'Data Entry'!C8</f>
        <v>700</v>
      </c>
      <c r="D9" s="18"/>
      <c r="E9" s="17"/>
      <c r="F9" s="18"/>
      <c r="G9" s="18"/>
      <c r="H9" s="19"/>
      <c r="I9" s="18"/>
      <c r="J9" s="19"/>
      <c r="K9" s="12"/>
      <c r="L9" s="12"/>
      <c r="M9" s="15"/>
    </row>
    <row r="10" spans="1:13" ht="15">
      <c r="A10" s="16"/>
      <c r="B10" s="20" t="s">
        <v>4</v>
      </c>
      <c r="C10" s="25">
        <f>'Data Entry'!C9</f>
        <v>46</v>
      </c>
      <c r="D10" s="18"/>
      <c r="E10" s="17"/>
      <c r="F10" s="18"/>
      <c r="G10" s="26">
        <f>J10-C14*3</f>
        <v>7.5</v>
      </c>
      <c r="H10" s="26">
        <f>J10-C14*2</f>
        <v>8</v>
      </c>
      <c r="I10" s="26">
        <f>J10-C14</f>
        <v>8.5</v>
      </c>
      <c r="J10" s="27">
        <f>'Data Entry'!F16</f>
        <v>9</v>
      </c>
      <c r="K10" s="26">
        <f>J10+C14</f>
        <v>9.5</v>
      </c>
      <c r="L10" s="26">
        <f>J10+C14*2</f>
        <v>10</v>
      </c>
      <c r="M10" s="28">
        <f>J10+C14*3</f>
        <v>10.5</v>
      </c>
    </row>
    <row r="11" spans="1:13" ht="15">
      <c r="A11" s="16"/>
      <c r="B11" s="20" t="s">
        <v>5</v>
      </c>
      <c r="C11" s="61">
        <f>(C9/((C10/100)*2200))</f>
        <v>0.691699604743083</v>
      </c>
      <c r="D11" s="18"/>
      <c r="E11" s="17"/>
      <c r="F11" s="29"/>
      <c r="G11" s="18"/>
      <c r="H11" s="18"/>
      <c r="I11" s="18"/>
      <c r="J11" s="12"/>
      <c r="K11" s="12"/>
      <c r="L11" s="12"/>
      <c r="M11" s="15"/>
    </row>
    <row r="12" spans="1:13" ht="15">
      <c r="A12" s="16"/>
      <c r="B12" s="30" t="s">
        <v>20</v>
      </c>
      <c r="C12" s="31">
        <f>'Data Entry'!C11</f>
        <v>10</v>
      </c>
      <c r="D12" s="18"/>
      <c r="E12" s="32"/>
      <c r="F12" s="29"/>
      <c r="G12" s="274" t="s">
        <v>111</v>
      </c>
      <c r="H12" s="274"/>
      <c r="I12" s="274"/>
      <c r="J12" s="274"/>
      <c r="K12" s="274"/>
      <c r="L12" s="274"/>
      <c r="M12" s="275"/>
    </row>
    <row r="13" spans="1:13" ht="15.75" thickBot="1">
      <c r="A13" s="16"/>
      <c r="B13" s="33" t="s">
        <v>106</v>
      </c>
      <c r="C13" s="34"/>
      <c r="D13" s="18"/>
      <c r="E13" s="35" t="s">
        <v>9</v>
      </c>
      <c r="F13" s="36" t="s">
        <v>41</v>
      </c>
      <c r="G13" s="219" t="s">
        <v>42</v>
      </c>
      <c r="H13" s="219"/>
      <c r="I13" s="219"/>
      <c r="J13" s="219"/>
      <c r="K13" s="219"/>
      <c r="L13" s="219"/>
      <c r="M13" s="212"/>
    </row>
    <row r="14" spans="1:13" ht="15">
      <c r="A14" s="16"/>
      <c r="B14" s="37" t="s">
        <v>108</v>
      </c>
      <c r="C14" s="38">
        <f>'Data Entry'!C13</f>
        <v>0.5</v>
      </c>
      <c r="D14" s="18"/>
      <c r="E14" s="39" t="s">
        <v>11</v>
      </c>
      <c r="F14" s="40" t="s">
        <v>12</v>
      </c>
      <c r="G14" s="41"/>
      <c r="H14" s="41"/>
      <c r="I14" s="41"/>
      <c r="J14" s="41"/>
      <c r="K14" s="41"/>
      <c r="L14" s="41"/>
      <c r="M14" s="112"/>
    </row>
    <row r="15" spans="1:13" ht="15">
      <c r="A15" s="16"/>
      <c r="B15" s="43" t="s">
        <v>28</v>
      </c>
      <c r="C15" s="34"/>
      <c r="D15" s="18"/>
      <c r="E15" s="190">
        <f>IF((E19-4*$C$12)&lt;0,0,(E19-4*$C$12))</f>
        <v>30</v>
      </c>
      <c r="F15" s="126">
        <f>IF((((-0.0009*(E15+$C$16)^2+0.2797*(E15+$C$16))-(-0.0009*($C$16)^2+0.2797*($C$16)))-((-0.0009*((E15-$C$12)+$C$16)^2+0.2797*((E15-$C$12)+$C$16))-(-0.0009*($C$16)^2+0.2797*($C$16))))&lt;0,0,((-0.0009*(E15+$C$16)^2+0.2797*(E15+$C$16))-(-0.0009*($C$16)^2+0.2797*($C$16)))-((-0.0009*((E15-$C$12)+$C$16)^2+0.2797*((E15-$C$12)+$C$16))-(-0.0009*($C$16)^2+0.2797*($C$16))))</f>
        <v>1.8070000000000004</v>
      </c>
      <c r="G15" s="201">
        <f aca="true" t="shared" si="0" ref="G15:M23">($F15*G$10)/($C$12*$C$11)</f>
        <v>1.959304285714286</v>
      </c>
      <c r="H15" s="201">
        <f t="shared" si="0"/>
        <v>2.089924571428572</v>
      </c>
      <c r="I15" s="201">
        <f t="shared" si="0"/>
        <v>2.220544857142858</v>
      </c>
      <c r="J15" s="201">
        <f t="shared" si="0"/>
        <v>2.3511651428571434</v>
      </c>
      <c r="K15" s="201">
        <f t="shared" si="0"/>
        <v>2.481785428571429</v>
      </c>
      <c r="L15" s="201">
        <f t="shared" si="0"/>
        <v>2.612405714285715</v>
      </c>
      <c r="M15" s="202">
        <f t="shared" si="0"/>
        <v>2.743026000000001</v>
      </c>
    </row>
    <row r="16" spans="1:13" ht="15">
      <c r="A16" s="16"/>
      <c r="B16" s="37" t="s">
        <v>29</v>
      </c>
      <c r="C16" s="45">
        <f>'Data Entry'!C15</f>
        <v>30</v>
      </c>
      <c r="D16" s="18"/>
      <c r="E16" s="190">
        <f>IF((E20-4*$C$12)&lt;0,0,(E20-4*$C$12))</f>
        <v>40</v>
      </c>
      <c r="F16" s="126">
        <f aca="true" t="shared" si="1" ref="F16:F23">IF((((-0.0009*(E16+$C$16)^2+0.2797*(E16+$C$16))-(-0.0009*($C$16)^2+0.2797*($C$16)))-((-0.0009*((E16-$C$12)+$C$16)^2+0.2797*((E16-$C$12)+$C$16))-(-0.0009*($C$16)^2+0.2797*($C$16))))&lt;0,0,((-0.0009*(E16+$C$16)^2+0.2797*(E16+$C$16))-(-0.0009*($C$16)^2+0.2797*($C$16)))-((-0.0009*((E16-$C$12)+$C$16)^2+0.2797*((E16-$C$12)+$C$16))-(-0.0009*($C$16)^2+0.2797*($C$16))))</f>
        <v>1.6270000000000007</v>
      </c>
      <c r="G16" s="201">
        <f t="shared" si="0"/>
        <v>1.7641328571428578</v>
      </c>
      <c r="H16" s="201">
        <f t="shared" si="0"/>
        <v>1.8817417142857151</v>
      </c>
      <c r="I16" s="201">
        <f t="shared" si="0"/>
        <v>1.9993505714285724</v>
      </c>
      <c r="J16" s="201">
        <f t="shared" si="0"/>
        <v>2.1169594285714295</v>
      </c>
      <c r="K16" s="201">
        <f t="shared" si="0"/>
        <v>2.2345682857142863</v>
      </c>
      <c r="L16" s="201">
        <f t="shared" si="0"/>
        <v>2.3521771428571436</v>
      </c>
      <c r="M16" s="202">
        <f t="shared" si="0"/>
        <v>2.469786000000001</v>
      </c>
    </row>
    <row r="17" spans="1:13" ht="15">
      <c r="A17" s="16"/>
      <c r="B17" s="43" t="s">
        <v>30</v>
      </c>
      <c r="C17" s="46"/>
      <c r="D17" s="18"/>
      <c r="E17" s="190">
        <f>IF((E21-4*$C$12)&lt;0,0,(E21-4*$C$12))</f>
        <v>50</v>
      </c>
      <c r="F17" s="126">
        <f t="shared" si="1"/>
        <v>1.447</v>
      </c>
      <c r="G17" s="201">
        <f t="shared" si="0"/>
        <v>1.5689614285714286</v>
      </c>
      <c r="H17" s="201">
        <f t="shared" si="0"/>
        <v>1.6735588571428572</v>
      </c>
      <c r="I17" s="201">
        <f t="shared" si="0"/>
        <v>1.7781562857142856</v>
      </c>
      <c r="J17" s="201">
        <f t="shared" si="0"/>
        <v>1.8827537142857143</v>
      </c>
      <c r="K17" s="201">
        <f t="shared" si="0"/>
        <v>1.987351142857143</v>
      </c>
      <c r="L17" s="201">
        <f t="shared" si="0"/>
        <v>2.0919485714285715</v>
      </c>
      <c r="M17" s="202">
        <f t="shared" si="0"/>
        <v>2.196546</v>
      </c>
    </row>
    <row r="18" spans="1:13" ht="15.75" thickBot="1">
      <c r="A18" s="16"/>
      <c r="B18" s="17"/>
      <c r="C18" s="18"/>
      <c r="D18" s="18"/>
      <c r="E18" s="193">
        <f>IF((E22-4*$C$12)&lt;0,0,(E22-4*$C$12))</f>
        <v>60</v>
      </c>
      <c r="F18" s="126">
        <f t="shared" si="1"/>
        <v>1.267000000000003</v>
      </c>
      <c r="G18" s="201">
        <f t="shared" si="0"/>
        <v>1.3737900000000032</v>
      </c>
      <c r="H18" s="201">
        <f t="shared" si="0"/>
        <v>1.4653760000000036</v>
      </c>
      <c r="I18" s="201">
        <f t="shared" si="0"/>
        <v>1.5569620000000037</v>
      </c>
      <c r="J18" s="201">
        <f t="shared" si="0"/>
        <v>1.648548000000004</v>
      </c>
      <c r="K18" s="201">
        <f t="shared" si="0"/>
        <v>1.740134000000004</v>
      </c>
      <c r="L18" s="201">
        <f t="shared" si="0"/>
        <v>1.8317200000000045</v>
      </c>
      <c r="M18" s="202">
        <f t="shared" si="0"/>
        <v>1.9233060000000046</v>
      </c>
    </row>
    <row r="19" spans="1:13" ht="15.75" thickBot="1">
      <c r="A19" s="16"/>
      <c r="B19" s="54"/>
      <c r="C19" s="48"/>
      <c r="D19" s="49" t="s">
        <v>13</v>
      </c>
      <c r="E19" s="50">
        <f>'Data Entry'!F11</f>
        <v>70</v>
      </c>
      <c r="F19" s="192">
        <f t="shared" si="1"/>
        <v>1.0869999999999962</v>
      </c>
      <c r="G19" s="201">
        <f t="shared" si="0"/>
        <v>1.1786185714285673</v>
      </c>
      <c r="H19" s="201">
        <f t="shared" si="0"/>
        <v>1.2571931428571383</v>
      </c>
      <c r="I19" s="201">
        <f t="shared" si="0"/>
        <v>1.3357677142857096</v>
      </c>
      <c r="J19" s="201">
        <f t="shared" si="0"/>
        <v>1.4143422857142807</v>
      </c>
      <c r="K19" s="201">
        <f t="shared" si="0"/>
        <v>1.492916857142852</v>
      </c>
      <c r="L19" s="201">
        <f t="shared" si="0"/>
        <v>1.571491428571423</v>
      </c>
      <c r="M19" s="202">
        <f t="shared" si="0"/>
        <v>1.6500659999999943</v>
      </c>
    </row>
    <row r="20" spans="1:13" ht="15">
      <c r="A20" s="16"/>
      <c r="B20" s="17"/>
      <c r="C20" s="18"/>
      <c r="D20" s="18"/>
      <c r="E20" s="194">
        <f>E19+C12</f>
        <v>80</v>
      </c>
      <c r="F20" s="126">
        <f t="shared" si="1"/>
        <v>0.907</v>
      </c>
      <c r="G20" s="201">
        <f t="shared" si="0"/>
        <v>0.9834471428571429</v>
      </c>
      <c r="H20" s="201">
        <f t="shared" si="0"/>
        <v>1.0490102857142858</v>
      </c>
      <c r="I20" s="201">
        <f t="shared" si="0"/>
        <v>1.1145734285714286</v>
      </c>
      <c r="J20" s="201">
        <f t="shared" si="0"/>
        <v>1.1801365714285714</v>
      </c>
      <c r="K20" s="201">
        <f t="shared" si="0"/>
        <v>1.2456997142857142</v>
      </c>
      <c r="L20" s="201">
        <f t="shared" si="0"/>
        <v>1.3112628571428573</v>
      </c>
      <c r="M20" s="202">
        <f t="shared" si="0"/>
        <v>1.376826</v>
      </c>
    </row>
    <row r="21" spans="1:13" ht="15">
      <c r="A21" s="16"/>
      <c r="B21" s="17"/>
      <c r="C21" s="18"/>
      <c r="D21" s="18"/>
      <c r="E21" s="190">
        <f>E19+2*C12</f>
        <v>90</v>
      </c>
      <c r="F21" s="126">
        <f t="shared" si="1"/>
        <v>0.7270000000000003</v>
      </c>
      <c r="G21" s="201">
        <f t="shared" si="0"/>
        <v>0.7882757142857146</v>
      </c>
      <c r="H21" s="201">
        <f t="shared" si="0"/>
        <v>0.8408274285714289</v>
      </c>
      <c r="I21" s="201">
        <f t="shared" si="0"/>
        <v>0.8933791428571433</v>
      </c>
      <c r="J21" s="201">
        <f t="shared" si="0"/>
        <v>0.9459308571428575</v>
      </c>
      <c r="K21" s="201">
        <f t="shared" si="0"/>
        <v>0.9984825714285719</v>
      </c>
      <c r="L21" s="201">
        <f t="shared" si="0"/>
        <v>1.0510342857142863</v>
      </c>
      <c r="M21" s="202">
        <f t="shared" si="0"/>
        <v>1.1035860000000004</v>
      </c>
    </row>
    <row r="22" spans="1:13" ht="15">
      <c r="A22" s="16"/>
      <c r="B22" s="17"/>
      <c r="C22" s="18"/>
      <c r="D22" s="18"/>
      <c r="E22" s="190">
        <f>E19+3*C12</f>
        <v>100</v>
      </c>
      <c r="F22" s="126">
        <f t="shared" si="1"/>
        <v>0.546999999999997</v>
      </c>
      <c r="G22" s="201">
        <f t="shared" si="0"/>
        <v>0.5931042857142825</v>
      </c>
      <c r="H22" s="201">
        <f t="shared" si="0"/>
        <v>0.632644571428568</v>
      </c>
      <c r="I22" s="201">
        <f t="shared" si="0"/>
        <v>0.6721848571428535</v>
      </c>
      <c r="J22" s="201">
        <f t="shared" si="0"/>
        <v>0.7117251428571391</v>
      </c>
      <c r="K22" s="201">
        <f t="shared" si="0"/>
        <v>0.7512654285714245</v>
      </c>
      <c r="L22" s="201">
        <f t="shared" si="0"/>
        <v>0.79080571428571</v>
      </c>
      <c r="M22" s="202">
        <f t="shared" si="0"/>
        <v>0.8303459999999955</v>
      </c>
    </row>
    <row r="23" spans="1:13" ht="15">
      <c r="A23" s="16"/>
      <c r="B23" s="17"/>
      <c r="C23" s="18"/>
      <c r="D23" s="18"/>
      <c r="E23" s="190">
        <f>E19+4*C12</f>
        <v>110</v>
      </c>
      <c r="F23" s="126">
        <f t="shared" si="1"/>
        <v>0.36700000000000443</v>
      </c>
      <c r="G23" s="201">
        <f t="shared" si="0"/>
        <v>0.397932857142862</v>
      </c>
      <c r="H23" s="201">
        <f t="shared" si="0"/>
        <v>0.42446171428571944</v>
      </c>
      <c r="I23" s="201">
        <f t="shared" si="0"/>
        <v>0.45099057142857685</v>
      </c>
      <c r="J23" s="201">
        <f t="shared" si="0"/>
        <v>0.4775194285714343</v>
      </c>
      <c r="K23" s="201">
        <f t="shared" si="0"/>
        <v>0.5040482857142918</v>
      </c>
      <c r="L23" s="201">
        <f t="shared" si="0"/>
        <v>0.5305771428571493</v>
      </c>
      <c r="M23" s="202">
        <f t="shared" si="0"/>
        <v>0.5571060000000068</v>
      </c>
    </row>
    <row r="24" spans="1:13" ht="13.5" customHeight="1">
      <c r="A24" s="16"/>
      <c r="B24" s="17"/>
      <c r="C24" s="18"/>
      <c r="D24" s="18"/>
      <c r="E24" s="78" t="s">
        <v>86</v>
      </c>
      <c r="F24" s="121"/>
      <c r="G24" s="121"/>
      <c r="H24" s="121"/>
      <c r="I24" s="12"/>
      <c r="J24" s="80"/>
      <c r="K24" s="195">
        <f>C12</f>
        <v>10</v>
      </c>
      <c r="L24" s="77" t="s">
        <v>30</v>
      </c>
      <c r="M24" s="122"/>
    </row>
    <row r="25" spans="1:13" ht="9.75" customHeight="1">
      <c r="A25" s="16"/>
      <c r="B25" s="17"/>
      <c r="C25" s="18"/>
      <c r="D25" s="18"/>
      <c r="E25" s="78" t="s">
        <v>107</v>
      </c>
      <c r="F25" s="121"/>
      <c r="G25" s="121"/>
      <c r="H25" s="121"/>
      <c r="I25" s="12"/>
      <c r="J25" s="80"/>
      <c r="K25" s="80"/>
      <c r="L25" s="80"/>
      <c r="M25" s="122"/>
    </row>
    <row r="26" spans="1:13" ht="9.75" customHeight="1">
      <c r="A26" s="16"/>
      <c r="B26" s="17"/>
      <c r="C26" s="18"/>
      <c r="D26" s="18"/>
      <c r="E26" s="200" t="s">
        <v>115</v>
      </c>
      <c r="F26" s="12"/>
      <c r="G26" s="121"/>
      <c r="H26" s="121"/>
      <c r="I26" s="121"/>
      <c r="J26" s="121"/>
      <c r="K26" s="121"/>
      <c r="L26" s="121"/>
      <c r="M26" s="122"/>
    </row>
    <row r="27" spans="1:13" ht="9.75" customHeight="1" thickBot="1">
      <c r="A27" s="16"/>
      <c r="B27" s="17"/>
      <c r="C27" s="18"/>
      <c r="D27" s="18"/>
      <c r="E27" s="124"/>
      <c r="F27" s="123"/>
      <c r="G27" s="123"/>
      <c r="H27" s="123"/>
      <c r="I27" s="151"/>
      <c r="J27" s="119"/>
      <c r="K27" s="119"/>
      <c r="L27" s="119"/>
      <c r="M27" s="120"/>
    </row>
    <row r="28" spans="2:13" ht="11.25" customHeight="1" thickBot="1">
      <c r="B28" s="215"/>
      <c r="C28" s="216"/>
      <c r="D28" s="216"/>
      <c r="E28" s="216"/>
      <c r="F28" s="216"/>
      <c r="G28" s="216"/>
      <c r="H28" s="216"/>
      <c r="I28" s="216"/>
      <c r="J28" s="55"/>
      <c r="K28" s="55"/>
      <c r="L28" s="55"/>
      <c r="M28" s="56"/>
    </row>
  </sheetData>
  <sheetProtection password="CE5A" sheet="1" objects="1" scenarios="1"/>
  <mergeCells count="10">
    <mergeCell ref="B2:M2"/>
    <mergeCell ref="B3:M3"/>
    <mergeCell ref="B7:C7"/>
    <mergeCell ref="H8:L8"/>
    <mergeCell ref="G12:M12"/>
    <mergeCell ref="G13:M13"/>
    <mergeCell ref="B28:I28"/>
    <mergeCell ref="K5:M5"/>
    <mergeCell ref="G5:J5"/>
    <mergeCell ref="D5:F5"/>
  </mergeCells>
  <conditionalFormatting sqref="G15:M23">
    <cfRule type="cellIs" priority="1" dxfId="2" operator="between" stopIfTrue="1">
      <formula>1.25</formula>
      <formula>1.5</formula>
    </cfRule>
  </conditionalFormatting>
  <hyperlinks>
    <hyperlink ref="D5" location="'Canola Crop'!A1" display="Return Canola as variable"/>
    <hyperlink ref="G5" location="'Canola Fertilizer'!A1" display="Go to Fertilizer Price as variable"/>
    <hyperlink ref="K5" location="'Data Entry'!A1" display="Return to Data Entry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8"/>
  <sheetViews>
    <sheetView showGridLines="0" workbookViewId="0" topLeftCell="A1">
      <selection activeCell="F17" sqref="F17"/>
    </sheetView>
  </sheetViews>
  <sheetFormatPr defaultColWidth="9.140625" defaultRowHeight="12.75"/>
  <cols>
    <col min="1" max="1" width="1.57421875" style="10" customWidth="1"/>
    <col min="2" max="2" width="16.57421875" style="10" customWidth="1"/>
    <col min="3" max="5" width="9.140625" style="10" customWidth="1"/>
    <col min="6" max="6" width="15.421875" style="10" customWidth="1"/>
    <col min="7" max="13" width="9.140625" style="10" customWidth="1"/>
    <col min="14" max="14" width="14.421875" style="10" customWidth="1"/>
    <col min="15" max="16384" width="9.140625" style="10" customWidth="1"/>
  </cols>
  <sheetData>
    <row r="1" spans="2:9" ht="6" customHeight="1" thickBot="1">
      <c r="B1" s="11"/>
      <c r="C1" s="11"/>
      <c r="D1" s="11"/>
      <c r="E1" s="11"/>
      <c r="F1" s="11"/>
      <c r="G1" s="11"/>
      <c r="H1" s="11"/>
      <c r="I1" s="11"/>
    </row>
    <row r="2" spans="1:13" ht="20.25">
      <c r="A2" s="11"/>
      <c r="B2" s="254" t="s">
        <v>40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6"/>
    </row>
    <row r="3" spans="1:13" ht="20.25">
      <c r="A3" s="11"/>
      <c r="B3" s="257" t="s">
        <v>65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9"/>
    </row>
    <row r="4" spans="1:14" ht="6.75" customHeight="1">
      <c r="A4" s="11"/>
      <c r="B4" s="13"/>
      <c r="C4" s="14"/>
      <c r="D4" s="14"/>
      <c r="E4" s="14"/>
      <c r="F4" s="14"/>
      <c r="G4" s="14"/>
      <c r="H4" s="14"/>
      <c r="I4" s="14"/>
      <c r="J4" s="12"/>
      <c r="K4" s="12"/>
      <c r="L4" s="12"/>
      <c r="M4" s="15"/>
      <c r="N4" s="158"/>
    </row>
    <row r="5" spans="2:13" ht="12.75">
      <c r="B5" s="198"/>
      <c r="C5" s="199"/>
      <c r="D5" s="279" t="s">
        <v>84</v>
      </c>
      <c r="E5" s="280"/>
      <c r="F5" s="280"/>
      <c r="G5" s="279" t="s">
        <v>119</v>
      </c>
      <c r="H5" s="280"/>
      <c r="I5" s="280"/>
      <c r="J5" s="280"/>
      <c r="K5" s="261" t="s">
        <v>96</v>
      </c>
      <c r="L5" s="280"/>
      <c r="M5" s="282"/>
    </row>
    <row r="6" spans="1:14" ht="4.5" customHeight="1" thickBot="1">
      <c r="A6" s="16"/>
      <c r="B6" s="17"/>
      <c r="C6" s="18"/>
      <c r="D6" s="18"/>
      <c r="E6" s="18"/>
      <c r="F6" s="18"/>
      <c r="G6" s="18"/>
      <c r="H6" s="18"/>
      <c r="I6" s="18"/>
      <c r="J6" s="12"/>
      <c r="K6" s="153"/>
      <c r="L6" s="153"/>
      <c r="M6" s="210"/>
      <c r="N6" s="158"/>
    </row>
    <row r="7" spans="1:13" ht="15.75" customHeight="1" thickBot="1">
      <c r="A7" s="16"/>
      <c r="B7" s="234" t="s">
        <v>39</v>
      </c>
      <c r="C7" s="235"/>
      <c r="D7" s="18"/>
      <c r="E7" s="18"/>
      <c r="F7" s="18"/>
      <c r="G7" s="18"/>
      <c r="H7" s="19"/>
      <c r="I7" s="18"/>
      <c r="J7" s="19"/>
      <c r="K7" s="12"/>
      <c r="L7" s="12"/>
      <c r="M7" s="15"/>
    </row>
    <row r="8" spans="1:13" ht="15" customHeight="1">
      <c r="A8" s="16"/>
      <c r="B8" s="87" t="s">
        <v>1</v>
      </c>
      <c r="C8" s="21" t="str">
        <f>'Data Entry'!C7</f>
        <v>UREA</v>
      </c>
      <c r="D8" s="18"/>
      <c r="E8" s="22"/>
      <c r="F8" s="23"/>
      <c r="G8" s="23"/>
      <c r="H8" s="266" t="s">
        <v>14</v>
      </c>
      <c r="I8" s="267"/>
      <c r="J8" s="267"/>
      <c r="K8" s="267"/>
      <c r="L8" s="267"/>
      <c r="M8" s="24"/>
    </row>
    <row r="9" spans="1:13" ht="15">
      <c r="A9" s="16"/>
      <c r="B9" s="20" t="s">
        <v>3</v>
      </c>
      <c r="C9" s="59">
        <f>'Data Entry'!C8</f>
        <v>700</v>
      </c>
      <c r="D9" s="18"/>
      <c r="E9" s="17"/>
      <c r="F9" s="18"/>
      <c r="G9" s="18"/>
      <c r="H9" s="19"/>
      <c r="I9" s="18"/>
      <c r="J9" s="19"/>
      <c r="K9" s="12"/>
      <c r="L9" s="12"/>
      <c r="M9" s="15"/>
    </row>
    <row r="10" spans="1:13" ht="15">
      <c r="A10" s="16"/>
      <c r="B10" s="20" t="s">
        <v>4</v>
      </c>
      <c r="C10" s="25">
        <f>'Data Entry'!C9</f>
        <v>46</v>
      </c>
      <c r="D10" s="18"/>
      <c r="E10" s="17"/>
      <c r="F10" s="18"/>
      <c r="G10" s="26">
        <f>J10-C14*3</f>
        <v>7.5</v>
      </c>
      <c r="H10" s="26">
        <f>J10-C14*2</f>
        <v>8</v>
      </c>
      <c r="I10" s="26">
        <f>J10-C14</f>
        <v>8.5</v>
      </c>
      <c r="J10" s="27">
        <f>'Data Entry'!F17</f>
        <v>9</v>
      </c>
      <c r="K10" s="26">
        <f>J10+C14</f>
        <v>9.5</v>
      </c>
      <c r="L10" s="26">
        <f>J10+C14*2</f>
        <v>10</v>
      </c>
      <c r="M10" s="28">
        <f>J10+C14*3</f>
        <v>10.5</v>
      </c>
    </row>
    <row r="11" spans="1:13" ht="15">
      <c r="A11" s="16"/>
      <c r="B11" s="20" t="s">
        <v>5</v>
      </c>
      <c r="C11" s="61">
        <f>(C9/((C10/100)*2200))</f>
        <v>0.691699604743083</v>
      </c>
      <c r="D11" s="18"/>
      <c r="E11" s="17"/>
      <c r="F11" s="29"/>
      <c r="G11" s="18"/>
      <c r="H11" s="18"/>
      <c r="I11" s="18"/>
      <c r="J11" s="12"/>
      <c r="K11" s="12"/>
      <c r="L11" s="12"/>
      <c r="M11" s="15"/>
    </row>
    <row r="12" spans="1:13" ht="15">
      <c r="A12" s="16"/>
      <c r="B12" s="30" t="s">
        <v>20</v>
      </c>
      <c r="C12" s="31">
        <f>'Data Entry'!C11</f>
        <v>10</v>
      </c>
      <c r="D12" s="18"/>
      <c r="E12" s="32"/>
      <c r="F12" s="29"/>
      <c r="G12" s="274" t="s">
        <v>111</v>
      </c>
      <c r="H12" s="274"/>
      <c r="I12" s="274"/>
      <c r="J12" s="274"/>
      <c r="K12" s="274"/>
      <c r="L12" s="274"/>
      <c r="M12" s="275"/>
    </row>
    <row r="13" spans="1:13" ht="15.75" thickBot="1">
      <c r="A13" s="16"/>
      <c r="B13" s="33" t="s">
        <v>106</v>
      </c>
      <c r="C13" s="34"/>
      <c r="D13" s="18"/>
      <c r="E13" s="35" t="s">
        <v>9</v>
      </c>
      <c r="F13" s="36" t="s">
        <v>41</v>
      </c>
      <c r="G13" s="219" t="s">
        <v>42</v>
      </c>
      <c r="H13" s="219"/>
      <c r="I13" s="219"/>
      <c r="J13" s="219"/>
      <c r="K13" s="219"/>
      <c r="L13" s="219"/>
      <c r="M13" s="212"/>
    </row>
    <row r="14" spans="1:13" ht="15">
      <c r="A14" s="16"/>
      <c r="B14" s="37" t="s">
        <v>108</v>
      </c>
      <c r="C14" s="38">
        <f>'Data Entry'!C13</f>
        <v>0.5</v>
      </c>
      <c r="D14" s="18"/>
      <c r="E14" s="39" t="s">
        <v>11</v>
      </c>
      <c r="F14" s="40" t="s">
        <v>12</v>
      </c>
      <c r="G14" s="41"/>
      <c r="H14" s="41"/>
      <c r="I14" s="41"/>
      <c r="J14" s="41"/>
      <c r="K14" s="41"/>
      <c r="L14" s="41"/>
      <c r="M14" s="112"/>
    </row>
    <row r="15" spans="1:13" ht="15">
      <c r="A15" s="16"/>
      <c r="B15" s="43" t="s">
        <v>28</v>
      </c>
      <c r="C15" s="34"/>
      <c r="D15" s="18"/>
      <c r="E15" s="190">
        <f>IF((E19-4*$C$12)&lt;0,0,(E19-4*$C$12))</f>
        <v>60</v>
      </c>
      <c r="F15" s="126">
        <f>IF((((-0.0005*(E15+$C$16)^2+0.2317*(E15+$C$16))-(-0.0005*($C$16)^2+0.2317*($C$16)))-((-0.0005*((E15-$C$12)+$C$16)^2+0.2317*((E15-$C$12)+$C$16))-(-0.0005*($C$16)^2+0.2317*($C$16))))&lt;0,0,((-0.0005*(E15+$C$16)^2+0.2317*(E15+$C$16))-(-0.0005*($C$16)^2+0.2317*($C$16))-((-0.0005*((E15-$C$12)+$C$16)^2+0.2317*((E15-$C$12)+$C$16))-(-0.0005*($C$16)^2+0.2317*($C$16)))))</f>
        <v>1.4669999999999987</v>
      </c>
      <c r="G15" s="201">
        <f aca="true" t="shared" si="0" ref="G15:M23">($F15*G$10)/($C$12*$C$11)</f>
        <v>1.5906471428571416</v>
      </c>
      <c r="H15" s="201">
        <f t="shared" si="0"/>
        <v>1.6966902857142843</v>
      </c>
      <c r="I15" s="201">
        <f t="shared" si="0"/>
        <v>1.802733428571427</v>
      </c>
      <c r="J15" s="201">
        <f t="shared" si="0"/>
        <v>1.9087765714285698</v>
      </c>
      <c r="K15" s="201">
        <f t="shared" si="0"/>
        <v>2.0148197142857125</v>
      </c>
      <c r="L15" s="201">
        <f t="shared" si="0"/>
        <v>2.120862857142855</v>
      </c>
      <c r="M15" s="202">
        <f t="shared" si="0"/>
        <v>2.2269059999999983</v>
      </c>
    </row>
    <row r="16" spans="1:13" ht="15">
      <c r="A16" s="16"/>
      <c r="B16" s="37" t="s">
        <v>29</v>
      </c>
      <c r="C16" s="45">
        <f>'Data Entry'!C15</f>
        <v>30</v>
      </c>
      <c r="D16" s="18"/>
      <c r="E16" s="190">
        <f>IF((E20-4*$C$12)&lt;0,0,(E20-4*$C$12))</f>
        <v>70</v>
      </c>
      <c r="F16" s="126">
        <f aca="true" t="shared" si="1" ref="F16:F23">IF((((-0.0005*(E16+$C$16)^2+0.2317*(E16+$C$16))-(-0.0005*($C$16)^2+0.2317*($C$16)))-((-0.0005*((E16-$C$12)+$C$16)^2+0.2317*((E16-$C$12)+$C$16))-(-0.0005*($C$16)^2+0.2317*($C$16))))&lt;0,0,((-0.0005*(E16+$C$16)^2+0.2317*(E16+$C$16))-(-0.0005*($C$16)^2+0.2317*($C$16))-((-0.0005*((E16-$C$12)+$C$16)^2+0.2317*((E16-$C$12)+$C$16))-(-0.0005*($C$16)^2+0.2317*($C$16)))))</f>
        <v>1.3670000000000009</v>
      </c>
      <c r="G16" s="201">
        <f t="shared" si="0"/>
        <v>1.4822185714285723</v>
      </c>
      <c r="H16" s="201">
        <f t="shared" si="0"/>
        <v>1.5810331428571438</v>
      </c>
      <c r="I16" s="201">
        <f t="shared" si="0"/>
        <v>1.6798477142857153</v>
      </c>
      <c r="J16" s="201">
        <f t="shared" si="0"/>
        <v>1.7786622857142869</v>
      </c>
      <c r="K16" s="201">
        <f t="shared" si="0"/>
        <v>1.8774768571428584</v>
      </c>
      <c r="L16" s="201">
        <f t="shared" si="0"/>
        <v>1.97629142857143</v>
      </c>
      <c r="M16" s="202">
        <f t="shared" si="0"/>
        <v>2.0751060000000012</v>
      </c>
    </row>
    <row r="17" spans="1:13" ht="15">
      <c r="A17" s="16"/>
      <c r="B17" s="43" t="s">
        <v>30</v>
      </c>
      <c r="C17" s="46"/>
      <c r="D17" s="18"/>
      <c r="E17" s="190">
        <f>IF((E21-4*$C$12)&lt;0,0,(E21-4*$C$12))</f>
        <v>80</v>
      </c>
      <c r="F17" s="126">
        <f t="shared" si="1"/>
        <v>1.2669999999999995</v>
      </c>
      <c r="G17" s="201">
        <f t="shared" si="0"/>
        <v>1.3737899999999994</v>
      </c>
      <c r="H17" s="201">
        <f t="shared" si="0"/>
        <v>1.4653759999999993</v>
      </c>
      <c r="I17" s="201">
        <f t="shared" si="0"/>
        <v>1.5569619999999993</v>
      </c>
      <c r="J17" s="201">
        <f t="shared" si="0"/>
        <v>1.6485479999999992</v>
      </c>
      <c r="K17" s="201">
        <f t="shared" si="0"/>
        <v>1.7401339999999992</v>
      </c>
      <c r="L17" s="201">
        <f t="shared" si="0"/>
        <v>1.8317199999999991</v>
      </c>
      <c r="M17" s="202">
        <f t="shared" si="0"/>
        <v>1.923305999999999</v>
      </c>
    </row>
    <row r="18" spans="1:13" ht="15.75" thickBot="1">
      <c r="A18" s="16"/>
      <c r="B18" s="17"/>
      <c r="C18" s="18"/>
      <c r="D18" s="18"/>
      <c r="E18" s="193">
        <f>IF((E22-4*$C$12)&lt;0,0,(E22-4*$C$12))</f>
        <v>90</v>
      </c>
      <c r="F18" s="126">
        <f t="shared" si="1"/>
        <v>1.1670000000000016</v>
      </c>
      <c r="G18" s="201">
        <f t="shared" si="0"/>
        <v>1.2653614285714303</v>
      </c>
      <c r="H18" s="201">
        <f t="shared" si="0"/>
        <v>1.3497188571428589</v>
      </c>
      <c r="I18" s="201">
        <f t="shared" si="0"/>
        <v>1.4340762857142877</v>
      </c>
      <c r="J18" s="201">
        <f t="shared" si="0"/>
        <v>1.5184337142857163</v>
      </c>
      <c r="K18" s="201">
        <f t="shared" si="0"/>
        <v>1.602791142857145</v>
      </c>
      <c r="L18" s="201">
        <f t="shared" si="0"/>
        <v>1.6871485714285737</v>
      </c>
      <c r="M18" s="202">
        <f t="shared" si="0"/>
        <v>1.7715060000000025</v>
      </c>
    </row>
    <row r="19" spans="1:13" ht="15.75" thickBot="1">
      <c r="A19" s="16"/>
      <c r="B19" s="54"/>
      <c r="C19" s="48"/>
      <c r="D19" s="49" t="s">
        <v>13</v>
      </c>
      <c r="E19" s="50">
        <f>'Data Entry'!F12</f>
        <v>100</v>
      </c>
      <c r="F19" s="192">
        <f t="shared" si="1"/>
        <v>1.0670000000000002</v>
      </c>
      <c r="G19" s="201">
        <f t="shared" si="0"/>
        <v>1.1569328571428574</v>
      </c>
      <c r="H19" s="201">
        <f t="shared" si="0"/>
        <v>1.2340617142857144</v>
      </c>
      <c r="I19" s="201">
        <f t="shared" si="0"/>
        <v>1.3111905714285716</v>
      </c>
      <c r="J19" s="201">
        <f t="shared" si="0"/>
        <v>1.3883194285714289</v>
      </c>
      <c r="K19" s="201">
        <f t="shared" si="0"/>
        <v>1.4654482857142859</v>
      </c>
      <c r="L19" s="201">
        <f t="shared" si="0"/>
        <v>1.542577142857143</v>
      </c>
      <c r="M19" s="202">
        <f t="shared" si="0"/>
        <v>1.6197060000000003</v>
      </c>
    </row>
    <row r="20" spans="1:13" ht="15">
      <c r="A20" s="16"/>
      <c r="B20" s="17"/>
      <c r="C20" s="18"/>
      <c r="D20" s="18"/>
      <c r="E20" s="194">
        <f>E19+C12</f>
        <v>110</v>
      </c>
      <c r="F20" s="126">
        <f t="shared" si="1"/>
        <v>0.9669999999999934</v>
      </c>
      <c r="G20" s="201">
        <f t="shared" si="0"/>
        <v>1.0485042857142786</v>
      </c>
      <c r="H20" s="201">
        <f t="shared" si="0"/>
        <v>1.1184045714285638</v>
      </c>
      <c r="I20" s="201">
        <f t="shared" si="0"/>
        <v>1.188304857142849</v>
      </c>
      <c r="J20" s="201">
        <f t="shared" si="0"/>
        <v>1.2582051428571344</v>
      </c>
      <c r="K20" s="201">
        <f t="shared" si="0"/>
        <v>1.3281054285714196</v>
      </c>
      <c r="L20" s="201">
        <f t="shared" si="0"/>
        <v>1.3980057142857047</v>
      </c>
      <c r="M20" s="202">
        <f t="shared" si="0"/>
        <v>1.46790599999999</v>
      </c>
    </row>
    <row r="21" spans="1:13" ht="15">
      <c r="A21" s="16"/>
      <c r="B21" s="17"/>
      <c r="C21" s="18"/>
      <c r="D21" s="18"/>
      <c r="E21" s="190">
        <f>E19+2*C12</f>
        <v>120</v>
      </c>
      <c r="F21" s="126">
        <f t="shared" si="1"/>
        <v>0.8670000000000044</v>
      </c>
      <c r="G21" s="201">
        <f t="shared" si="0"/>
        <v>0.9400757142857191</v>
      </c>
      <c r="H21" s="201">
        <f t="shared" si="0"/>
        <v>1.0027474285714337</v>
      </c>
      <c r="I21" s="201">
        <f t="shared" si="0"/>
        <v>1.0654191428571482</v>
      </c>
      <c r="J21" s="201">
        <f t="shared" si="0"/>
        <v>1.128090857142863</v>
      </c>
      <c r="K21" s="201">
        <f t="shared" si="0"/>
        <v>1.1907625714285774</v>
      </c>
      <c r="L21" s="201">
        <f t="shared" si="0"/>
        <v>1.2534342857142922</v>
      </c>
      <c r="M21" s="202">
        <f t="shared" si="0"/>
        <v>1.3161060000000067</v>
      </c>
    </row>
    <row r="22" spans="1:13" ht="15">
      <c r="A22" s="16"/>
      <c r="B22" s="17"/>
      <c r="C22" s="18"/>
      <c r="D22" s="18"/>
      <c r="E22" s="190">
        <f>E19+3*C12</f>
        <v>130</v>
      </c>
      <c r="F22" s="126">
        <f t="shared" si="1"/>
        <v>0.7669999999999959</v>
      </c>
      <c r="G22" s="201">
        <f t="shared" si="0"/>
        <v>0.8316471428571384</v>
      </c>
      <c r="H22" s="201">
        <f t="shared" si="0"/>
        <v>0.887090285714281</v>
      </c>
      <c r="I22" s="201">
        <f t="shared" si="0"/>
        <v>0.9425334285714235</v>
      </c>
      <c r="J22" s="201">
        <f t="shared" si="0"/>
        <v>0.9979765714285661</v>
      </c>
      <c r="K22" s="201">
        <f t="shared" si="0"/>
        <v>1.0534197142857087</v>
      </c>
      <c r="L22" s="201">
        <f t="shared" si="0"/>
        <v>1.1088628571428512</v>
      </c>
      <c r="M22" s="202">
        <f t="shared" si="0"/>
        <v>1.1643059999999938</v>
      </c>
    </row>
    <row r="23" spans="1:13" ht="15">
      <c r="A23" s="16"/>
      <c r="B23" s="17"/>
      <c r="C23" s="18"/>
      <c r="D23" s="18"/>
      <c r="E23" s="190">
        <f>E19+4*C12</f>
        <v>140</v>
      </c>
      <c r="F23" s="126">
        <f t="shared" si="1"/>
        <v>0.6670000000000016</v>
      </c>
      <c r="G23" s="201">
        <f t="shared" si="0"/>
        <v>0.7232185714285732</v>
      </c>
      <c r="H23" s="201">
        <f t="shared" si="0"/>
        <v>0.7714331428571447</v>
      </c>
      <c r="I23" s="201">
        <f t="shared" si="0"/>
        <v>0.8196477142857163</v>
      </c>
      <c r="J23" s="201">
        <f t="shared" si="0"/>
        <v>0.8678622857142878</v>
      </c>
      <c r="K23" s="201">
        <f t="shared" si="0"/>
        <v>0.9160768571428594</v>
      </c>
      <c r="L23" s="201">
        <f t="shared" si="0"/>
        <v>0.9642914285714309</v>
      </c>
      <c r="M23" s="202">
        <f t="shared" si="0"/>
        <v>1.0125060000000023</v>
      </c>
    </row>
    <row r="24" spans="1:13" ht="13.5" customHeight="1">
      <c r="A24" s="16"/>
      <c r="B24" s="17"/>
      <c r="C24" s="18"/>
      <c r="D24" s="18"/>
      <c r="E24" s="78" t="s">
        <v>86</v>
      </c>
      <c r="F24" s="121"/>
      <c r="G24" s="121"/>
      <c r="H24" s="121"/>
      <c r="I24" s="12"/>
      <c r="J24" s="80"/>
      <c r="K24" s="195">
        <f>C12</f>
        <v>10</v>
      </c>
      <c r="L24" s="77" t="s">
        <v>30</v>
      </c>
      <c r="M24" s="122"/>
    </row>
    <row r="25" spans="1:13" ht="9.75" customHeight="1">
      <c r="A25" s="16"/>
      <c r="B25" s="17"/>
      <c r="C25" s="18"/>
      <c r="D25" s="18"/>
      <c r="E25" s="78" t="s">
        <v>107</v>
      </c>
      <c r="F25" s="121"/>
      <c r="G25" s="121"/>
      <c r="H25" s="121"/>
      <c r="I25" s="12"/>
      <c r="J25" s="80"/>
      <c r="K25" s="80"/>
      <c r="L25" s="80"/>
      <c r="M25" s="122"/>
    </row>
    <row r="26" spans="1:13" ht="9.75" customHeight="1">
      <c r="A26" s="16"/>
      <c r="B26" s="17"/>
      <c r="C26" s="18"/>
      <c r="D26" s="18"/>
      <c r="E26" s="200" t="s">
        <v>115</v>
      </c>
      <c r="F26" s="12"/>
      <c r="G26" s="121"/>
      <c r="H26" s="121"/>
      <c r="I26" s="121"/>
      <c r="J26" s="121"/>
      <c r="K26" s="121"/>
      <c r="L26" s="121"/>
      <c r="M26" s="122"/>
    </row>
    <row r="27" spans="1:13" ht="9.75" customHeight="1" thickBot="1">
      <c r="A27" s="16"/>
      <c r="B27" s="17"/>
      <c r="C27" s="18"/>
      <c r="D27" s="18"/>
      <c r="E27" s="124"/>
      <c r="F27" s="123"/>
      <c r="G27" s="123"/>
      <c r="H27" s="123"/>
      <c r="I27" s="151"/>
      <c r="J27" s="119"/>
      <c r="K27" s="119"/>
      <c r="L27" s="119"/>
      <c r="M27" s="120"/>
    </row>
    <row r="28" spans="2:13" ht="11.25" customHeight="1" thickBot="1">
      <c r="B28" s="215"/>
      <c r="C28" s="216"/>
      <c r="D28" s="216"/>
      <c r="E28" s="216"/>
      <c r="F28" s="216"/>
      <c r="G28" s="216"/>
      <c r="H28" s="216"/>
      <c r="I28" s="216"/>
      <c r="J28" s="55"/>
      <c r="K28" s="55"/>
      <c r="L28" s="55"/>
      <c r="M28" s="56"/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</sheetData>
  <sheetProtection password="CE5A" sheet="1" objects="1" scenarios="1"/>
  <mergeCells count="10">
    <mergeCell ref="B2:M2"/>
    <mergeCell ref="B3:M3"/>
    <mergeCell ref="B7:C7"/>
    <mergeCell ref="H8:L8"/>
    <mergeCell ref="G12:M12"/>
    <mergeCell ref="G13:M13"/>
    <mergeCell ref="B28:I28"/>
    <mergeCell ref="G5:J5"/>
    <mergeCell ref="D5:F5"/>
    <mergeCell ref="K5:M5"/>
  </mergeCells>
  <conditionalFormatting sqref="G15:M23">
    <cfRule type="cellIs" priority="1" dxfId="2" operator="between" stopIfTrue="1">
      <formula>1.25</formula>
      <formula>1.5</formula>
    </cfRule>
  </conditionalFormatting>
  <hyperlinks>
    <hyperlink ref="D5" location="'Canola (hybrid) Crop'!A1" display="Return to Canola (hybrid) as variable"/>
    <hyperlink ref="G5" location="'Canola (hybrid) Fertilizer'!A1" display="Go to Fertilizer Price as variable"/>
    <hyperlink ref="K5" location="'Data Entry'!A1" display="Return to Data Entry"/>
  </hyperlinks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30"/>
  <sheetViews>
    <sheetView showGridLines="0" workbookViewId="0" topLeftCell="A1">
      <selection activeCell="G17" sqref="G17"/>
    </sheetView>
  </sheetViews>
  <sheetFormatPr defaultColWidth="9.140625" defaultRowHeight="12.75"/>
  <cols>
    <col min="1" max="1" width="1.57421875" style="10" customWidth="1"/>
    <col min="2" max="2" width="17.140625" style="10" customWidth="1"/>
    <col min="3" max="3" width="9.140625" style="10" customWidth="1"/>
    <col min="4" max="4" width="11.140625" style="10" customWidth="1"/>
    <col min="5" max="5" width="9.140625" style="10" customWidth="1"/>
    <col min="6" max="6" width="13.57421875" style="10" customWidth="1"/>
    <col min="7" max="13" width="9.140625" style="10" customWidth="1"/>
    <col min="14" max="14" width="29.57421875" style="10" customWidth="1"/>
    <col min="15" max="15" width="10.28125" style="10" customWidth="1"/>
    <col min="16" max="16384" width="9.140625" style="10" customWidth="1"/>
  </cols>
  <sheetData>
    <row r="1" spans="2:9" ht="6" customHeight="1" thickBot="1">
      <c r="B1" s="11"/>
      <c r="C1" s="11"/>
      <c r="D1" s="11"/>
      <c r="E1" s="11"/>
      <c r="F1" s="11"/>
      <c r="G1" s="11"/>
      <c r="H1" s="11"/>
      <c r="I1" s="11"/>
    </row>
    <row r="2" spans="1:13" ht="20.25">
      <c r="A2" s="11"/>
      <c r="B2" s="254" t="s">
        <v>40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6"/>
    </row>
    <row r="3" spans="1:13" ht="20.25">
      <c r="A3" s="11"/>
      <c r="B3" s="257" t="s">
        <v>47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9"/>
    </row>
    <row r="4" spans="1:14" ht="6.75" customHeight="1">
      <c r="A4" s="11"/>
      <c r="B4" s="13"/>
      <c r="C4" s="14"/>
      <c r="D4" s="14"/>
      <c r="E4" s="14"/>
      <c r="F4" s="14"/>
      <c r="G4" s="14"/>
      <c r="H4" s="14"/>
      <c r="I4" s="14"/>
      <c r="J4" s="12"/>
      <c r="K4" s="12"/>
      <c r="L4" s="12"/>
      <c r="M4" s="15"/>
      <c r="N4" s="163"/>
    </row>
    <row r="5" spans="2:13" ht="12.75">
      <c r="B5" s="198"/>
      <c r="C5" s="199"/>
      <c r="D5" s="253" t="s">
        <v>76</v>
      </c>
      <c r="E5" s="280"/>
      <c r="F5" s="280"/>
      <c r="G5" s="253" t="s">
        <v>69</v>
      </c>
      <c r="H5" s="280"/>
      <c r="I5" s="280"/>
      <c r="J5" s="280"/>
      <c r="K5" s="261" t="s">
        <v>96</v>
      </c>
      <c r="L5" s="280"/>
      <c r="M5" s="282"/>
    </row>
    <row r="6" spans="1:14" ht="4.5" customHeight="1" thickBot="1">
      <c r="A6" s="16"/>
      <c r="B6" s="17"/>
      <c r="C6" s="18"/>
      <c r="D6" s="18"/>
      <c r="E6" s="18"/>
      <c r="F6" s="18"/>
      <c r="G6" s="18"/>
      <c r="H6" s="18"/>
      <c r="I6" s="18"/>
      <c r="J6" s="12"/>
      <c r="K6" s="12"/>
      <c r="L6" s="12"/>
      <c r="M6" s="15"/>
      <c r="N6" s="163"/>
    </row>
    <row r="7" spans="1:14" ht="15.75" customHeight="1" thickBot="1">
      <c r="A7" s="16"/>
      <c r="B7" s="234" t="s">
        <v>61</v>
      </c>
      <c r="C7" s="235"/>
      <c r="E7" s="18"/>
      <c r="F7" s="18"/>
      <c r="G7" s="18"/>
      <c r="H7" s="19"/>
      <c r="I7" s="18"/>
      <c r="J7" s="19"/>
      <c r="K7" s="12"/>
      <c r="L7" s="12"/>
      <c r="M7" s="15"/>
      <c r="N7" s="12"/>
    </row>
    <row r="8" spans="1:14" ht="15" customHeight="1">
      <c r="A8" s="16"/>
      <c r="B8" s="87" t="s">
        <v>58</v>
      </c>
      <c r="C8" s="21" t="s">
        <v>59</v>
      </c>
      <c r="D8" s="18"/>
      <c r="E8" s="62"/>
      <c r="F8" s="63"/>
      <c r="G8" s="63"/>
      <c r="H8" s="236" t="s">
        <v>63</v>
      </c>
      <c r="I8" s="237"/>
      <c r="J8" s="237"/>
      <c r="K8" s="237"/>
      <c r="L8" s="237"/>
      <c r="M8" s="64"/>
      <c r="N8" s="12"/>
    </row>
    <row r="9" spans="1:14" ht="14.25">
      <c r="A9" s="16"/>
      <c r="B9" s="20" t="s">
        <v>60</v>
      </c>
      <c r="C9" s="83">
        <f>'Data Entry'!F14</f>
        <v>5</v>
      </c>
      <c r="D9" s="18"/>
      <c r="E9" s="65"/>
      <c r="F9" s="66"/>
      <c r="M9" s="15"/>
      <c r="N9" s="12"/>
    </row>
    <row r="10" spans="1:14" ht="15">
      <c r="A10" s="16"/>
      <c r="B10" s="30" t="s">
        <v>20</v>
      </c>
      <c r="C10" s="106">
        <f>'Data Entry'!C11</f>
        <v>10</v>
      </c>
      <c r="D10" s="18"/>
      <c r="E10" s="65"/>
      <c r="F10" s="66"/>
      <c r="G10" s="108">
        <f>H10-$C$12</f>
        <v>550</v>
      </c>
      <c r="H10" s="108">
        <f>I10-$C$12</f>
        <v>600</v>
      </c>
      <c r="I10" s="108">
        <f>J10-$C$12</f>
        <v>650</v>
      </c>
      <c r="J10" s="109">
        <f>'Data Entry'!C8</f>
        <v>700</v>
      </c>
      <c r="K10" s="108">
        <f>J10+$C$12</f>
        <v>750</v>
      </c>
      <c r="L10" s="108">
        <f>K10+$C$12</f>
        <v>800</v>
      </c>
      <c r="M10" s="110">
        <f>L10+$C$12</f>
        <v>850</v>
      </c>
      <c r="N10" s="12"/>
    </row>
    <row r="11" spans="1:14" ht="15">
      <c r="A11" s="16"/>
      <c r="B11" s="33" t="s">
        <v>106</v>
      </c>
      <c r="C11" s="46"/>
      <c r="D11" s="18"/>
      <c r="E11" s="65"/>
      <c r="F11" s="70" t="s">
        <v>6</v>
      </c>
      <c r="G11" s="66"/>
      <c r="H11" s="66"/>
      <c r="I11" s="66"/>
      <c r="J11" s="68"/>
      <c r="K11" s="68"/>
      <c r="L11" s="68"/>
      <c r="M11" s="69"/>
      <c r="N11" s="12"/>
    </row>
    <row r="12" spans="1:14" ht="15">
      <c r="A12" s="16"/>
      <c r="B12" s="37" t="s">
        <v>56</v>
      </c>
      <c r="C12" s="118">
        <f>'Data Entry'!C17</f>
        <v>50</v>
      </c>
      <c r="D12" s="18"/>
      <c r="E12" s="71"/>
      <c r="F12" s="70" t="s">
        <v>7</v>
      </c>
      <c r="G12" s="217" t="s">
        <v>8</v>
      </c>
      <c r="H12" s="217"/>
      <c r="I12" s="217"/>
      <c r="J12" s="217"/>
      <c r="K12" s="217"/>
      <c r="L12" s="217"/>
      <c r="M12" s="218"/>
      <c r="N12" s="12"/>
    </row>
    <row r="13" spans="1:14" ht="15.75" thickBot="1">
      <c r="A13" s="16"/>
      <c r="B13" s="43" t="s">
        <v>28</v>
      </c>
      <c r="C13" s="46"/>
      <c r="D13" s="18"/>
      <c r="E13" s="72" t="s">
        <v>9</v>
      </c>
      <c r="F13" s="73" t="s">
        <v>10</v>
      </c>
      <c r="G13" s="219" t="s">
        <v>18</v>
      </c>
      <c r="H13" s="219"/>
      <c r="I13" s="219"/>
      <c r="J13" s="219"/>
      <c r="K13" s="219"/>
      <c r="L13" s="219"/>
      <c r="M13" s="212"/>
      <c r="N13" s="12"/>
    </row>
    <row r="14" spans="1:22" ht="15">
      <c r="A14" s="16"/>
      <c r="B14" s="37" t="s">
        <v>29</v>
      </c>
      <c r="C14" s="107">
        <f>'Data Entry'!C15</f>
        <v>30</v>
      </c>
      <c r="D14" s="18"/>
      <c r="E14" s="84" t="s">
        <v>11</v>
      </c>
      <c r="F14" s="85" t="s">
        <v>12</v>
      </c>
      <c r="G14" s="111">
        <f>'Data Entry'!$F$14/(G$10/(('Data Entry'!$C$9/100)*2200))</f>
        <v>9.200000000000001</v>
      </c>
      <c r="H14" s="111">
        <f>'Data Entry'!$F$14/(H$10/(('Data Entry'!$C$9/100)*2200))</f>
        <v>8.433333333333334</v>
      </c>
      <c r="I14" s="111">
        <f>'Data Entry'!$F$14/(I$10/(('Data Entry'!$C$9/100)*2200))</f>
        <v>7.784615384615385</v>
      </c>
      <c r="J14" s="111">
        <f>'Data Entry'!$F$14/(J$10/(('Data Entry'!$C$9/100)*2200))</f>
        <v>7.228571428571429</v>
      </c>
      <c r="K14" s="111">
        <f>'Data Entry'!$F$14/(K$10/(('Data Entry'!$C$9/100)*2200))</f>
        <v>6.746666666666666</v>
      </c>
      <c r="L14" s="111">
        <f>'Data Entry'!$F$14/(L$10/(('Data Entry'!$C$9/100)*2200))</f>
        <v>6.325</v>
      </c>
      <c r="M14" s="112">
        <f>'Data Entry'!$F$14/(M$10/(('Data Entry'!$C$9/100)*2200))</f>
        <v>5.952941176470588</v>
      </c>
      <c r="N14"/>
      <c r="O14"/>
      <c r="P14"/>
      <c r="Q14"/>
      <c r="R14"/>
      <c r="S14"/>
      <c r="T14"/>
      <c r="U14"/>
      <c r="V14"/>
    </row>
    <row r="15" spans="1:22" ht="15">
      <c r="A15" s="16"/>
      <c r="B15" s="43" t="s">
        <v>30</v>
      </c>
      <c r="C15" s="46"/>
      <c r="D15" s="18"/>
      <c r="E15" s="190">
        <f>IF((E19-4*$C$10)&lt;0,0,(E19-4*$C$10))</f>
        <v>50</v>
      </c>
      <c r="F15" s="126">
        <f aca="true" t="shared" si="0" ref="F15:F23">IF(((-0.0015*(E15+$C$14)^2+0.4902*(E15+$C$14))-(-0.0015*($C$14)^2+0.4902*($C$14)))&lt;0,0,(-0.0015*(E15+$C$14)^2+0.4902*(E15+$C$14))-(-0.0015*($C$14)^2+0.4902*($C$14)))</f>
        <v>16.259999999999998</v>
      </c>
      <c r="G15" s="135">
        <f>('Data Entry'!$F$14*$F15)-(G$10/(('Data Entry'!$C$9/100)*2200))*($E15)</f>
        <v>54.126086956521725</v>
      </c>
      <c r="H15" s="135">
        <f>('Data Entry'!$F$14*$F15)-(H$10/(('Data Entry'!$C$9/100)*2200))*($E15)</f>
        <v>51.65573122529642</v>
      </c>
      <c r="I15" s="135">
        <f>('Data Entry'!$F$14*$F15)-(I$10/(('Data Entry'!$C$9/100)*2200))*($E15)</f>
        <v>49.18537549407113</v>
      </c>
      <c r="J15" s="135">
        <f>('Data Entry'!$F$14*$F15)-(J$10/(('Data Entry'!$C$9/100)*2200))*($E15)</f>
        <v>46.715019762845834</v>
      </c>
      <c r="K15" s="135">
        <f>('Data Entry'!$F$14*$F15)-(K$10/(('Data Entry'!$C$9/100)*2200))*($E15)</f>
        <v>44.24466403162053</v>
      </c>
      <c r="L15" s="135">
        <f>('Data Entry'!$F$14*$F15)-(L$10/(('Data Entry'!$C$9/100)*2200))*($E15)</f>
        <v>41.77430830039524</v>
      </c>
      <c r="M15" s="136">
        <f>('Data Entry'!$F$14*$F15)-(M$10/(('Data Entry'!$C$9/100)*2200))*($E15)</f>
        <v>39.303952569169944</v>
      </c>
      <c r="N15"/>
      <c r="O15"/>
      <c r="P15"/>
      <c r="Q15"/>
      <c r="R15"/>
      <c r="S15"/>
      <c r="T15"/>
      <c r="U15"/>
      <c r="V15"/>
    </row>
    <row r="16" spans="1:22" ht="15">
      <c r="A16" s="16"/>
      <c r="B16" s="86"/>
      <c r="D16" s="18"/>
      <c r="E16" s="190">
        <f>IF((E20-4*$C$10)&lt;0,0,(E20-4*$C$10))</f>
        <v>60</v>
      </c>
      <c r="F16" s="126">
        <f t="shared" si="0"/>
        <v>18.612000000000002</v>
      </c>
      <c r="G16" s="135">
        <f>('Data Entry'!$F$14*$F16)-(G$10/(('Data Entry'!$C$9/100)*2200))*($E16)</f>
        <v>60.45130434782609</v>
      </c>
      <c r="H16" s="135">
        <f>('Data Entry'!$F$14*$F16)-(H$10/(('Data Entry'!$C$9/100)*2200))*($E16)</f>
        <v>57.48687747035573</v>
      </c>
      <c r="I16" s="135">
        <f>('Data Entry'!$F$14*$F16)-(I$10/(('Data Entry'!$C$9/100)*2200))*($E16)</f>
        <v>54.52245059288538</v>
      </c>
      <c r="J16" s="135">
        <f>('Data Entry'!$F$14*$F16)-(J$10/(('Data Entry'!$C$9/100)*2200))*($E16)</f>
        <v>51.55802371541502</v>
      </c>
      <c r="K16" s="135">
        <f>('Data Entry'!$F$14*$F16)-(K$10/(('Data Entry'!$C$9/100)*2200))*($E16)</f>
        <v>48.593596837944666</v>
      </c>
      <c r="L16" s="135">
        <f>('Data Entry'!$F$14*$F16)-(L$10/(('Data Entry'!$C$9/100)*2200))*($E16)</f>
        <v>45.629169960474314</v>
      </c>
      <c r="M16" s="136">
        <f>('Data Entry'!$F$14*$F16)-(M$10/(('Data Entry'!$C$9/100)*2200))*($E16)</f>
        <v>42.664743083003955</v>
      </c>
      <c r="N16"/>
      <c r="O16"/>
      <c r="P16"/>
      <c r="Q16"/>
      <c r="R16"/>
      <c r="S16"/>
      <c r="T16"/>
      <c r="U16"/>
      <c r="V16"/>
    </row>
    <row r="17" spans="1:22" ht="15">
      <c r="A17" s="16"/>
      <c r="B17" s="54"/>
      <c r="D17" s="18"/>
      <c r="E17" s="190">
        <f>IF((E21-4*$C$10)&lt;0,0,(E21-4*$C$10))</f>
        <v>70</v>
      </c>
      <c r="F17" s="126">
        <f t="shared" si="0"/>
        <v>20.664</v>
      </c>
      <c r="G17" s="135">
        <f>('Data Entry'!$F$14*$F17)-(G$10/(('Data Entry'!$C$9/100)*2200))*($E17)</f>
        <v>65.27652173913044</v>
      </c>
      <c r="H17" s="135">
        <f>('Data Entry'!$F$14*$F17)-(H$10/(('Data Entry'!$C$9/100)*2200))*($E17)</f>
        <v>61.81802371541502</v>
      </c>
      <c r="I17" s="135">
        <f>('Data Entry'!$F$14*$F17)-(I$10/(('Data Entry'!$C$9/100)*2200))*($E17)</f>
        <v>58.359525691699616</v>
      </c>
      <c r="J17" s="135">
        <f>('Data Entry'!$F$14*$F17)-(J$10/(('Data Entry'!$C$9/100)*2200))*($E17)</f>
        <v>54.901027667984195</v>
      </c>
      <c r="K17" s="135">
        <f>('Data Entry'!$F$14*$F17)-(K$10/(('Data Entry'!$C$9/100)*2200))*($E17)</f>
        <v>51.44252964426878</v>
      </c>
      <c r="L17" s="135">
        <f>('Data Entry'!$F$14*$F17)-(L$10/(('Data Entry'!$C$9/100)*2200))*($E17)</f>
        <v>47.98403162055337</v>
      </c>
      <c r="M17" s="136">
        <f>('Data Entry'!$F$14*$F17)-(M$10/(('Data Entry'!$C$9/100)*2200))*($E17)</f>
        <v>44.52553359683795</v>
      </c>
      <c r="N17"/>
      <c r="O17"/>
      <c r="P17"/>
      <c r="Q17"/>
      <c r="R17"/>
      <c r="S17"/>
      <c r="T17"/>
      <c r="U17"/>
      <c r="V17"/>
    </row>
    <row r="18" spans="1:22" ht="15.75" thickBot="1">
      <c r="A18" s="16"/>
      <c r="B18" s="17"/>
      <c r="C18" s="18"/>
      <c r="D18" s="18"/>
      <c r="E18" s="193">
        <f>IF((E22-4*$C$10)&lt;0,0,(E22-4*$C$10))</f>
        <v>80</v>
      </c>
      <c r="F18" s="126">
        <f t="shared" si="0"/>
        <v>22.416000000000004</v>
      </c>
      <c r="G18" s="135">
        <f>('Data Entry'!$F$14*$F18)-(G$10/(('Data Entry'!$C$9/100)*2200))*($E18)</f>
        <v>68.6017391304348</v>
      </c>
      <c r="H18" s="135">
        <f>('Data Entry'!$F$14*$F18)-(H$10/(('Data Entry'!$C$9/100)*2200))*($E18)</f>
        <v>64.64916996047432</v>
      </c>
      <c r="I18" s="135">
        <f>('Data Entry'!$F$14*$F18)-(I$10/(('Data Entry'!$C$9/100)*2200))*($E18)</f>
        <v>60.69660079051385</v>
      </c>
      <c r="J18" s="135">
        <f>('Data Entry'!$F$14*$F18)-(J$10/(('Data Entry'!$C$9/100)*2200))*($E18)</f>
        <v>56.74403162055337</v>
      </c>
      <c r="K18" s="135">
        <f>('Data Entry'!$F$14*$F18)-(K$10/(('Data Entry'!$C$9/100)*2200))*($E18)</f>
        <v>52.791462450592896</v>
      </c>
      <c r="L18" s="135">
        <f>('Data Entry'!$F$14*$F18)-(L$10/(('Data Entry'!$C$9/100)*2200))*($E18)</f>
        <v>48.838893280632426</v>
      </c>
      <c r="M18" s="136">
        <f>('Data Entry'!$F$14*$F18)-(M$10/(('Data Entry'!$C$9/100)*2200))*($E18)</f>
        <v>44.88632411067195</v>
      </c>
      <c r="N18"/>
      <c r="O18"/>
      <c r="P18"/>
      <c r="Q18"/>
      <c r="R18"/>
      <c r="S18"/>
      <c r="T18"/>
      <c r="U18"/>
      <c r="V18"/>
    </row>
    <row r="19" spans="1:22" ht="15.75" thickBot="1">
      <c r="A19" s="16"/>
      <c r="B19" s="47"/>
      <c r="C19" s="48"/>
      <c r="D19" s="49" t="s">
        <v>13</v>
      </c>
      <c r="E19" s="50">
        <f>'Data Entry'!F9</f>
        <v>90</v>
      </c>
      <c r="F19" s="192">
        <f t="shared" si="0"/>
        <v>23.868000000000002</v>
      </c>
      <c r="G19" s="135">
        <f>('Data Entry'!$F$14*$F19)-(G$10/(('Data Entry'!$C$9/100)*2200))*($E19)</f>
        <v>70.42695652173913</v>
      </c>
      <c r="H19" s="135">
        <f>('Data Entry'!$F$14*$F19)-(H$10/(('Data Entry'!$C$9/100)*2200))*($E19)</f>
        <v>65.9803162055336</v>
      </c>
      <c r="I19" s="135">
        <f>('Data Entry'!$F$14*$F19)-(I$10/(('Data Entry'!$C$9/100)*2200))*($E19)</f>
        <v>61.53367588932807</v>
      </c>
      <c r="J19" s="135">
        <f>('Data Entry'!$F$14*$F19)-(J$10/(('Data Entry'!$C$9/100)*2200))*($E19)</f>
        <v>57.087035573122535</v>
      </c>
      <c r="K19" s="135">
        <f>('Data Entry'!$F$14*$F19)-(K$10/(('Data Entry'!$C$9/100)*2200))*($E19)</f>
        <v>52.64039525691699</v>
      </c>
      <c r="L19" s="135">
        <f>('Data Entry'!$F$14*$F19)-(L$10/(('Data Entry'!$C$9/100)*2200))*($E19)</f>
        <v>48.19375494071147</v>
      </c>
      <c r="M19" s="136">
        <f>('Data Entry'!$F$14*$F19)-(M$10/(('Data Entry'!$C$9/100)*2200))*($E19)</f>
        <v>43.747114624505926</v>
      </c>
      <c r="N19"/>
      <c r="O19"/>
      <c r="P19"/>
      <c r="Q19"/>
      <c r="R19"/>
      <c r="S19"/>
      <c r="T19"/>
      <c r="U19"/>
      <c r="V19"/>
    </row>
    <row r="20" spans="1:22" ht="15">
      <c r="A20" s="16"/>
      <c r="B20" s="17"/>
      <c r="C20" s="18"/>
      <c r="D20" s="18"/>
      <c r="E20" s="194">
        <f>E19+C10</f>
        <v>100</v>
      </c>
      <c r="F20" s="126">
        <f t="shared" si="0"/>
        <v>25.020000000000003</v>
      </c>
      <c r="G20" s="135">
        <f>('Data Entry'!$F$14*$F20)-(G$10/(('Data Entry'!$C$9/100)*2200))*($E20)</f>
        <v>70.7521739130435</v>
      </c>
      <c r="H20" s="135">
        <f>('Data Entry'!$F$14*$F20)-(H$10/(('Data Entry'!$C$9/100)*2200))*($E20)</f>
        <v>65.8114624505929</v>
      </c>
      <c r="I20" s="135">
        <f>('Data Entry'!$F$14*$F20)-(I$10/(('Data Entry'!$C$9/100)*2200))*($E20)</f>
        <v>60.87075098814232</v>
      </c>
      <c r="J20" s="135">
        <f>('Data Entry'!$F$14*$F20)-(J$10/(('Data Entry'!$C$9/100)*2200))*($E20)</f>
        <v>55.930039525691726</v>
      </c>
      <c r="K20" s="135">
        <f>('Data Entry'!$F$14*$F20)-(K$10/(('Data Entry'!$C$9/100)*2200))*($E20)</f>
        <v>50.98932806324112</v>
      </c>
      <c r="L20" s="135">
        <f>('Data Entry'!$F$14*$F20)-(L$10/(('Data Entry'!$C$9/100)*2200))*($E20)</f>
        <v>46.04861660079054</v>
      </c>
      <c r="M20" s="136">
        <f>('Data Entry'!$F$14*$F20)-(M$10/(('Data Entry'!$C$9/100)*2200))*($E20)</f>
        <v>41.107905138339945</v>
      </c>
      <c r="N20"/>
      <c r="O20"/>
      <c r="P20"/>
      <c r="Q20"/>
      <c r="R20"/>
      <c r="S20"/>
      <c r="T20"/>
      <c r="U20"/>
      <c r="V20"/>
    </row>
    <row r="21" spans="1:22" ht="15">
      <c r="A21" s="16"/>
      <c r="B21" s="17"/>
      <c r="C21" s="52"/>
      <c r="D21" s="18"/>
      <c r="E21" s="190">
        <f>E19+2*C10</f>
        <v>110</v>
      </c>
      <c r="F21" s="126">
        <f t="shared" si="0"/>
        <v>25.871999999999993</v>
      </c>
      <c r="G21" s="135">
        <f>('Data Entry'!$F$14*$F21)-(G$10/(('Data Entry'!$C$9/100)*2200))*($E21)</f>
        <v>69.57739130434778</v>
      </c>
      <c r="H21" s="135">
        <f>('Data Entry'!$F$14*$F21)-(H$10/(('Data Entry'!$C$9/100)*2200))*($E21)</f>
        <v>64.14260869565213</v>
      </c>
      <c r="I21" s="135">
        <f>('Data Entry'!$F$14*$F21)-(I$10/(('Data Entry'!$C$9/100)*2200))*($E21)</f>
        <v>58.70782608695649</v>
      </c>
      <c r="J21" s="135">
        <f>('Data Entry'!$F$14*$F21)-(J$10/(('Data Entry'!$C$9/100)*2200))*($E21)</f>
        <v>53.27304347826083</v>
      </c>
      <c r="K21" s="135">
        <f>('Data Entry'!$F$14*$F21)-(K$10/(('Data Entry'!$C$9/100)*2200))*($E21)</f>
        <v>47.838260869565175</v>
      </c>
      <c r="L21" s="135">
        <f>('Data Entry'!$F$14*$F21)-(L$10/(('Data Entry'!$C$9/100)*2200))*($E21)</f>
        <v>42.40347826086952</v>
      </c>
      <c r="M21" s="136">
        <f>('Data Entry'!$F$14*$F21)-(M$10/(('Data Entry'!$C$9/100)*2200))*($E21)</f>
        <v>36.968695652173864</v>
      </c>
      <c r="N21"/>
      <c r="O21"/>
      <c r="P21"/>
      <c r="Q21"/>
      <c r="R21"/>
      <c r="S21"/>
      <c r="T21"/>
      <c r="U21"/>
      <c r="V21"/>
    </row>
    <row r="22" spans="1:22" ht="15">
      <c r="A22" s="16"/>
      <c r="B22" s="17"/>
      <c r="C22" s="18"/>
      <c r="D22" s="18"/>
      <c r="E22" s="190">
        <f>E19+3*C10</f>
        <v>120</v>
      </c>
      <c r="F22" s="126">
        <f t="shared" si="0"/>
        <v>26.424</v>
      </c>
      <c r="G22" s="135">
        <f>('Data Entry'!$F$14*$F22)-(G$10/(('Data Entry'!$C$9/100)*2200))*($E22)</f>
        <v>66.90260869565218</v>
      </c>
      <c r="H22" s="135">
        <f>('Data Entry'!$F$14*$F22)-(H$10/(('Data Entry'!$C$9/100)*2200))*($E22)</f>
        <v>60.97375494071146</v>
      </c>
      <c r="I22" s="135">
        <f>('Data Entry'!$F$14*$F22)-(I$10/(('Data Entry'!$C$9/100)*2200))*($E22)</f>
        <v>55.044901185770755</v>
      </c>
      <c r="J22" s="135">
        <f>('Data Entry'!$F$14*$F22)-(J$10/(('Data Entry'!$C$9/100)*2200))*($E22)</f>
        <v>49.11604743083004</v>
      </c>
      <c r="K22" s="135">
        <f>('Data Entry'!$F$14*$F22)-(K$10/(('Data Entry'!$C$9/100)*2200))*($E22)</f>
        <v>43.18719367588933</v>
      </c>
      <c r="L22" s="135">
        <f>('Data Entry'!$F$14*$F22)-(L$10/(('Data Entry'!$C$9/100)*2200))*($E22)</f>
        <v>37.25833992094863</v>
      </c>
      <c r="M22" s="136">
        <f>('Data Entry'!$F$14*$F22)-(M$10/(('Data Entry'!$C$9/100)*2200))*($E22)</f>
        <v>31.32948616600791</v>
      </c>
      <c r="N22"/>
      <c r="O22"/>
      <c r="P22"/>
      <c r="Q22"/>
      <c r="R22"/>
      <c r="S22"/>
      <c r="T22"/>
      <c r="U22"/>
      <c r="V22"/>
    </row>
    <row r="23" spans="1:22" ht="15">
      <c r="A23" s="16"/>
      <c r="B23" s="17"/>
      <c r="C23" s="18"/>
      <c r="D23" s="18"/>
      <c r="E23" s="190">
        <f>E19+4*C10</f>
        <v>130</v>
      </c>
      <c r="F23" s="126">
        <f t="shared" si="0"/>
        <v>26.676000000000002</v>
      </c>
      <c r="G23" s="135">
        <f>('Data Entry'!$F$14*$F23)-(G$10/(('Data Entry'!$C$9/100)*2200))*($E23)</f>
        <v>62.727826086956526</v>
      </c>
      <c r="H23" s="135">
        <f>('Data Entry'!$F$14*$F23)-(H$10/(('Data Entry'!$C$9/100)*2200))*($E23)</f>
        <v>56.304901185770746</v>
      </c>
      <c r="I23" s="135">
        <f>('Data Entry'!$F$14*$F23)-(I$10/(('Data Entry'!$C$9/100)*2200))*($E23)</f>
        <v>49.88197628458498</v>
      </c>
      <c r="J23" s="135">
        <f>('Data Entry'!$F$14*$F23)-(J$10/(('Data Entry'!$C$9/100)*2200))*($E23)</f>
        <v>43.4590513833992</v>
      </c>
      <c r="K23" s="135">
        <f>('Data Entry'!$F$14*$F23)-(K$10/(('Data Entry'!$C$9/100)*2200))*($E23)</f>
        <v>37.03612648221343</v>
      </c>
      <c r="L23" s="135">
        <f>('Data Entry'!$F$14*$F23)-(L$10/(('Data Entry'!$C$9/100)*2200))*($E23)</f>
        <v>30.613201581027667</v>
      </c>
      <c r="M23" s="136">
        <f>('Data Entry'!$F$14*$F23)-(M$10/(('Data Entry'!$C$9/100)*2200))*($E23)</f>
        <v>24.190276679841887</v>
      </c>
      <c r="N23"/>
      <c r="O23"/>
      <c r="P23"/>
      <c r="Q23"/>
      <c r="R23"/>
      <c r="S23"/>
      <c r="T23"/>
      <c r="U23"/>
      <c r="V23"/>
    </row>
    <row r="24" spans="1:22" ht="11.25" customHeight="1">
      <c r="A24" s="16"/>
      <c r="B24" s="17"/>
      <c r="C24" s="18"/>
      <c r="D24" s="18"/>
      <c r="E24" s="241" t="s">
        <v>50</v>
      </c>
      <c r="F24" s="242"/>
      <c r="G24" s="239"/>
      <c r="H24" s="239"/>
      <c r="I24" s="239"/>
      <c r="J24" s="239"/>
      <c r="K24" s="239"/>
      <c r="L24" s="239"/>
      <c r="M24" s="240"/>
      <c r="N24"/>
      <c r="O24"/>
      <c r="P24"/>
      <c r="Q24"/>
      <c r="R24"/>
      <c r="S24"/>
      <c r="T24"/>
      <c r="U24"/>
      <c r="V24"/>
    </row>
    <row r="25" spans="1:22" ht="11.25" customHeight="1">
      <c r="A25" s="16"/>
      <c r="B25" s="17"/>
      <c r="C25" s="18"/>
      <c r="D25" s="18"/>
      <c r="E25" s="241" t="s">
        <v>16</v>
      </c>
      <c r="F25" s="242"/>
      <c r="G25" s="242"/>
      <c r="H25" s="242"/>
      <c r="I25" s="242"/>
      <c r="J25" s="242"/>
      <c r="K25" s="242"/>
      <c r="L25" s="242"/>
      <c r="M25" s="243"/>
      <c r="N25"/>
      <c r="O25"/>
      <c r="P25"/>
      <c r="Q25"/>
      <c r="R25"/>
      <c r="S25"/>
      <c r="T25"/>
      <c r="U25"/>
      <c r="V25"/>
    </row>
    <row r="26" spans="1:22" ht="11.25" customHeight="1">
      <c r="A26" s="16"/>
      <c r="B26" s="17"/>
      <c r="C26" s="18"/>
      <c r="D26" s="18"/>
      <c r="E26" s="241" t="s">
        <v>19</v>
      </c>
      <c r="F26" s="242"/>
      <c r="G26" s="242"/>
      <c r="H26" s="242"/>
      <c r="I26" s="242"/>
      <c r="J26" s="242"/>
      <c r="K26" s="242"/>
      <c r="L26" s="242"/>
      <c r="M26" s="243"/>
      <c r="N26"/>
      <c r="O26"/>
      <c r="P26"/>
      <c r="Q26"/>
      <c r="R26"/>
      <c r="S26"/>
      <c r="T26"/>
      <c r="U26"/>
      <c r="V26"/>
    </row>
    <row r="27" spans="1:22" ht="11.25" customHeight="1">
      <c r="A27" s="16"/>
      <c r="B27" s="17"/>
      <c r="C27" s="18"/>
      <c r="D27" s="18"/>
      <c r="E27" s="249" t="s">
        <v>85</v>
      </c>
      <c r="F27" s="284"/>
      <c r="G27" s="284"/>
      <c r="H27" s="284"/>
      <c r="I27" s="284"/>
      <c r="J27" s="284"/>
      <c r="K27" s="284"/>
      <c r="L27" s="284"/>
      <c r="M27" s="262"/>
      <c r="N27"/>
      <c r="O27"/>
      <c r="P27"/>
      <c r="Q27"/>
      <c r="R27"/>
      <c r="S27"/>
      <c r="T27"/>
      <c r="U27"/>
      <c r="V27"/>
    </row>
    <row r="28" spans="1:22" ht="11.25" customHeight="1" thickBot="1">
      <c r="A28" s="16"/>
      <c r="B28" s="17"/>
      <c r="C28" s="18"/>
      <c r="D28" s="18"/>
      <c r="E28" s="244" t="s">
        <v>38</v>
      </c>
      <c r="F28" s="246"/>
      <c r="G28" s="246"/>
      <c r="H28" s="246"/>
      <c r="I28" s="246"/>
      <c r="J28" s="247"/>
      <c r="K28" s="247"/>
      <c r="L28" s="247"/>
      <c r="M28" s="248"/>
      <c r="N28"/>
      <c r="O28"/>
      <c r="P28"/>
      <c r="Q28"/>
      <c r="R28"/>
      <c r="S28"/>
      <c r="T28"/>
      <c r="U28"/>
      <c r="V28"/>
    </row>
    <row r="29" spans="1:22" ht="11.25" customHeight="1">
      <c r="A29" s="16"/>
      <c r="B29" s="17"/>
      <c r="C29" s="18"/>
      <c r="D29" s="18"/>
      <c r="E29" s="53"/>
      <c r="F29" s="53"/>
      <c r="G29" s="53"/>
      <c r="H29" s="53"/>
      <c r="I29" s="53"/>
      <c r="J29" s="12"/>
      <c r="K29" s="12"/>
      <c r="L29" s="12"/>
      <c r="M29" s="15"/>
      <c r="N29"/>
      <c r="O29"/>
      <c r="P29"/>
      <c r="Q29"/>
      <c r="R29"/>
      <c r="S29"/>
      <c r="T29"/>
      <c r="U29"/>
      <c r="V29"/>
    </row>
    <row r="30" spans="2:22" ht="11.25" customHeight="1" thickBot="1">
      <c r="B30" s="215"/>
      <c r="C30" s="216"/>
      <c r="D30" s="216"/>
      <c r="E30" s="216"/>
      <c r="F30" s="216"/>
      <c r="G30" s="216"/>
      <c r="H30" s="216"/>
      <c r="I30" s="216"/>
      <c r="J30" s="55"/>
      <c r="K30" s="55"/>
      <c r="L30" s="55"/>
      <c r="M30" s="56"/>
      <c r="N30"/>
      <c r="O30"/>
      <c r="P30"/>
      <c r="Q30"/>
      <c r="R30"/>
      <c r="S30"/>
      <c r="T30"/>
      <c r="U30"/>
      <c r="V30"/>
    </row>
  </sheetData>
  <sheetProtection password="CE5A" sheet="1" objects="1" scenarios="1"/>
  <mergeCells count="15">
    <mergeCell ref="G12:M12"/>
    <mergeCell ref="G13:M13"/>
    <mergeCell ref="B2:M2"/>
    <mergeCell ref="B3:M3"/>
    <mergeCell ref="B7:C7"/>
    <mergeCell ref="H8:L8"/>
    <mergeCell ref="K5:M5"/>
    <mergeCell ref="D5:F5"/>
    <mergeCell ref="G5:J5"/>
    <mergeCell ref="E24:M24"/>
    <mergeCell ref="E28:M28"/>
    <mergeCell ref="E27:M27"/>
    <mergeCell ref="B30:I30"/>
    <mergeCell ref="E25:M25"/>
    <mergeCell ref="E26:M26"/>
  </mergeCells>
  <conditionalFormatting sqref="I15:I23">
    <cfRule type="cellIs" priority="1" dxfId="0" operator="between" stopIfTrue="1">
      <formula>MAX($I$15:$I$23)-0.5</formula>
      <formula>MAX($I$15:$I$23)+0.5</formula>
    </cfRule>
    <cfRule type="cellIs" priority="2" dxfId="1" operator="between" stopIfTrue="1">
      <formula>MAX($I$15:$I$23)-0.5</formula>
      <formula>MAX($I$15:$I$23)-1.5</formula>
    </cfRule>
    <cfRule type="cellIs" priority="3" dxfId="1" operator="between" stopIfTrue="1">
      <formula>MAX($I$15:$I$23)+0.5</formula>
      <formula>MAX($I$15:$I$23)+1.5</formula>
    </cfRule>
  </conditionalFormatting>
  <conditionalFormatting sqref="J15:J23">
    <cfRule type="cellIs" priority="4" dxfId="0" operator="between" stopIfTrue="1">
      <formula>MAX($J$15:$J$23)-0.5</formula>
      <formula>MAX($J$15:$J$23)+0.5</formula>
    </cfRule>
    <cfRule type="cellIs" priority="5" dxfId="1" operator="between" stopIfTrue="1">
      <formula>MAX($J$15:$J$23)-0.5</formula>
      <formula>MAX($J$15:$J$23)-1.5</formula>
    </cfRule>
    <cfRule type="cellIs" priority="6" dxfId="1" operator="between" stopIfTrue="1">
      <formula>MAX($J$15:$J$23)+0.5</formula>
      <formula>MAX($J$15:$J$23)+1.5</formula>
    </cfRule>
  </conditionalFormatting>
  <conditionalFormatting sqref="K15:K23">
    <cfRule type="cellIs" priority="7" dxfId="0" operator="between" stopIfTrue="1">
      <formula>MAX($K$15:$K$23)-0.5</formula>
      <formula>MAX($K$15:$K$23)+0.5</formula>
    </cfRule>
    <cfRule type="cellIs" priority="8" dxfId="1" operator="between" stopIfTrue="1">
      <formula>MAX($K$15:$K$23)-0.5</formula>
      <formula>MAX($K$15:$K$23)-1.5</formula>
    </cfRule>
    <cfRule type="cellIs" priority="9" dxfId="1" operator="between" stopIfTrue="1">
      <formula>MAX($K$15:$K$23)+0.5</formula>
      <formula>MAX($K$15:$K$23)+1.5</formula>
    </cfRule>
  </conditionalFormatting>
  <conditionalFormatting sqref="G15:G23">
    <cfRule type="cellIs" priority="10" dxfId="0" operator="between" stopIfTrue="1">
      <formula>MAX($G$15:$G$23)-0.5</formula>
      <formula>MAX($G$15:$G$23)+0.5</formula>
    </cfRule>
    <cfRule type="cellIs" priority="11" dxfId="1" operator="between" stopIfTrue="1">
      <formula>MAX($G$15:$G$23)-0.5</formula>
      <formula>MAX($G$15:$G$23)-1.5</formula>
    </cfRule>
    <cfRule type="cellIs" priority="12" dxfId="1" operator="between" stopIfTrue="1">
      <formula>MAX($G$15:$G$23)+0.5</formula>
      <formula>MAX($G$15:$G$23)+1.5</formula>
    </cfRule>
  </conditionalFormatting>
  <conditionalFormatting sqref="H15:H23">
    <cfRule type="cellIs" priority="13" dxfId="0" operator="between" stopIfTrue="1">
      <formula>MAX($H$15:$H$23)-0.5</formula>
      <formula>MAX($H$15:$H$23)+0.5</formula>
    </cfRule>
    <cfRule type="cellIs" priority="14" dxfId="1" operator="between" stopIfTrue="1">
      <formula>MAX($H$15:$H$23)-0.5</formula>
      <formula>MAX($H$15:$H$23)-1.5</formula>
    </cfRule>
    <cfRule type="cellIs" priority="15" dxfId="1" operator="between" stopIfTrue="1">
      <formula>MAX($H$15:$H$23)+0.5</formula>
      <formula>MAX($H$15:$HG$23)+1.5</formula>
    </cfRule>
  </conditionalFormatting>
  <conditionalFormatting sqref="L15:L23">
    <cfRule type="cellIs" priority="16" dxfId="0" operator="between" stopIfTrue="1">
      <formula>MAX($L$15:$L$23)-0.5</formula>
      <formula>MAX($L$15:$L$23)+0.5</formula>
    </cfRule>
    <cfRule type="cellIs" priority="17" dxfId="1" operator="between" stopIfTrue="1">
      <formula>MAX($L$15:$L$23)-0.5</formula>
      <formula>MAX($L$15:$L$23)-1.5</formula>
    </cfRule>
    <cfRule type="cellIs" priority="18" dxfId="1" operator="between" stopIfTrue="1">
      <formula>MAX($L$15:$L$23)+0.5</formula>
      <formula>MAX($L$15:$L$23)+1.5</formula>
    </cfRule>
  </conditionalFormatting>
  <conditionalFormatting sqref="M15:M23">
    <cfRule type="cellIs" priority="19" dxfId="0" operator="between" stopIfTrue="1">
      <formula>MAX($M$15:$M$23)-0.5</formula>
      <formula>MAX($M$15:$M$23)+0.5</formula>
    </cfRule>
    <cfRule type="cellIs" priority="20" dxfId="1" operator="between" stopIfTrue="1">
      <formula>MAX($M$15:$M$23)-0.5</formula>
      <formula>MAX($M$15:$M$23)-1.5</formula>
    </cfRule>
    <cfRule type="cellIs" priority="21" dxfId="1" operator="between" stopIfTrue="1">
      <formula>MAX($M$15:$M$23)+0.5</formula>
      <formula>MAX($M$15:$M$23)+1.5</formula>
    </cfRule>
  </conditionalFormatting>
  <hyperlinks>
    <hyperlink ref="G5" location="'Wheat (Moist) MR'!A1" display="Go to Marginal Return Chart"/>
    <hyperlink ref="D5" location="'Wheat (Moist) Crop'!A1" display="Return to Wheat (Moist) as variable"/>
    <hyperlink ref="K5" location="'Data Entry'!A1" display="Return to Data Entry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17"/>
  <sheetViews>
    <sheetView showGridLines="0" workbookViewId="0" topLeftCell="A1">
      <selection activeCell="A1" sqref="A1"/>
    </sheetView>
  </sheetViews>
  <sheetFormatPr defaultColWidth="9.140625" defaultRowHeight="12.75"/>
  <sheetData>
    <row r="3" ht="15.75">
      <c r="B3" s="196" t="s">
        <v>113</v>
      </c>
    </row>
    <row r="4" spans="2:11" ht="12.75">
      <c r="B4" s="232"/>
      <c r="C4" s="233"/>
      <c r="D4" s="233"/>
      <c r="E4" s="233"/>
      <c r="F4" s="233"/>
      <c r="G4" s="233"/>
      <c r="H4" s="233"/>
      <c r="I4" s="233"/>
      <c r="J4" s="233"/>
      <c r="K4" s="233"/>
    </row>
    <row r="5" spans="2:11" ht="12.75">
      <c r="B5" s="233"/>
      <c r="C5" s="233"/>
      <c r="D5" s="233"/>
      <c r="E5" s="233"/>
      <c r="F5" s="233"/>
      <c r="G5" s="233"/>
      <c r="H5" s="233"/>
      <c r="I5" s="233"/>
      <c r="J5" s="233"/>
      <c r="K5" s="233"/>
    </row>
    <row r="6" spans="2:11" ht="12.75">
      <c r="B6" s="233"/>
      <c r="C6" s="233"/>
      <c r="D6" s="233"/>
      <c r="E6" s="233"/>
      <c r="F6" s="233"/>
      <c r="G6" s="233"/>
      <c r="H6" s="233"/>
      <c r="I6" s="233"/>
      <c r="J6" s="233"/>
      <c r="K6" s="233"/>
    </row>
    <row r="7" spans="2:11" ht="12.75">
      <c r="B7" s="233"/>
      <c r="C7" s="233"/>
      <c r="D7" s="233"/>
      <c r="E7" s="233"/>
      <c r="F7" s="233"/>
      <c r="G7" s="233"/>
      <c r="H7" s="233"/>
      <c r="I7" s="233"/>
      <c r="J7" s="233"/>
      <c r="K7" s="233"/>
    </row>
    <row r="8" spans="2:11" ht="12.75">
      <c r="B8" s="233"/>
      <c r="C8" s="233"/>
      <c r="D8" s="233"/>
      <c r="E8" s="233"/>
      <c r="F8" s="233"/>
      <c r="G8" s="233"/>
      <c r="H8" s="233"/>
      <c r="I8" s="233"/>
      <c r="J8" s="233"/>
      <c r="K8" s="233"/>
    </row>
    <row r="9" spans="2:11" ht="12.75">
      <c r="B9" s="233"/>
      <c r="C9" s="233"/>
      <c r="D9" s="233"/>
      <c r="E9" s="233"/>
      <c r="F9" s="233"/>
      <c r="G9" s="233"/>
      <c r="H9" s="233"/>
      <c r="I9" s="233"/>
      <c r="J9" s="233"/>
      <c r="K9" s="233"/>
    </row>
    <row r="10" spans="2:11" ht="12.75">
      <c r="B10" s="233"/>
      <c r="C10" s="233"/>
      <c r="D10" s="233"/>
      <c r="E10" s="233"/>
      <c r="F10" s="233"/>
      <c r="G10" s="233"/>
      <c r="H10" s="233"/>
      <c r="I10" s="233"/>
      <c r="J10" s="233"/>
      <c r="K10" s="233"/>
    </row>
    <row r="11" spans="2:11" ht="12.75">
      <c r="B11" s="233"/>
      <c r="C11" s="233"/>
      <c r="D11" s="233"/>
      <c r="E11" s="233"/>
      <c r="F11" s="233"/>
      <c r="G11" s="233"/>
      <c r="H11" s="233"/>
      <c r="I11" s="233"/>
      <c r="J11" s="233"/>
      <c r="K11" s="233"/>
    </row>
    <row r="14" spans="2:15" ht="14.25" customHeight="1">
      <c r="B14" s="288" t="s">
        <v>122</v>
      </c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</row>
    <row r="15" ht="15.75">
      <c r="B15" s="288" t="s">
        <v>123</v>
      </c>
    </row>
    <row r="16" ht="14.25" customHeight="1">
      <c r="B16" s="288" t="s">
        <v>117</v>
      </c>
    </row>
    <row r="17" spans="2:4" ht="12.75">
      <c r="B17" s="289" t="s">
        <v>118</v>
      </c>
      <c r="D17" s="208" t="s">
        <v>116</v>
      </c>
    </row>
  </sheetData>
  <sheetProtection password="CE5A" sheet="1" objects="1" scenarios="1"/>
  <mergeCells count="1">
    <mergeCell ref="B4:K11"/>
  </mergeCells>
  <hyperlinks>
    <hyperlink ref="D17" r:id="rId1" display="http://www.uwex.edu/ces/crops/NComparison.htm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0"/>
  <sheetViews>
    <sheetView showGridLines="0" workbookViewId="0" topLeftCell="A1">
      <selection activeCell="F18" sqref="F18"/>
    </sheetView>
  </sheetViews>
  <sheetFormatPr defaultColWidth="9.140625" defaultRowHeight="12.75"/>
  <cols>
    <col min="1" max="1" width="1.57421875" style="10" customWidth="1"/>
    <col min="2" max="2" width="17.140625" style="10" customWidth="1"/>
    <col min="3" max="3" width="9.140625" style="10" customWidth="1"/>
    <col min="4" max="4" width="11.140625" style="10" customWidth="1"/>
    <col min="5" max="5" width="9.140625" style="10" customWidth="1"/>
    <col min="6" max="6" width="13.57421875" style="10" customWidth="1"/>
    <col min="7" max="13" width="9.140625" style="10" customWidth="1"/>
    <col min="14" max="14" width="18.00390625" style="10" customWidth="1"/>
    <col min="15" max="16384" width="9.140625" style="10" customWidth="1"/>
  </cols>
  <sheetData>
    <row r="1" spans="2:9" ht="6" customHeight="1" thickBot="1">
      <c r="B1" s="11"/>
      <c r="C1" s="11"/>
      <c r="D1" s="11"/>
      <c r="E1" s="11"/>
      <c r="F1" s="11"/>
      <c r="G1" s="11"/>
      <c r="H1" s="11"/>
      <c r="I1" s="11"/>
    </row>
    <row r="2" spans="1:13" ht="20.25">
      <c r="A2" s="11"/>
      <c r="B2" s="254" t="s">
        <v>40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6"/>
    </row>
    <row r="3" spans="1:13" ht="20.25">
      <c r="A3" s="11"/>
      <c r="B3" s="257" t="s">
        <v>48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9"/>
    </row>
    <row r="4" spans="1:14" ht="6.75" customHeight="1">
      <c r="A4" s="11"/>
      <c r="B4" s="13"/>
      <c r="C4" s="14"/>
      <c r="D4" s="14"/>
      <c r="E4" s="14"/>
      <c r="F4" s="14"/>
      <c r="G4" s="14"/>
      <c r="H4" s="14"/>
      <c r="I4" s="14"/>
      <c r="J4" s="12"/>
      <c r="K4" s="12"/>
      <c r="L4" s="12"/>
      <c r="M4" s="15"/>
      <c r="N4" s="158"/>
    </row>
    <row r="5" spans="2:13" ht="12.75">
      <c r="B5" s="198"/>
      <c r="C5" s="199"/>
      <c r="D5" s="279" t="s">
        <v>78</v>
      </c>
      <c r="E5" s="280"/>
      <c r="F5" s="280"/>
      <c r="G5" s="279" t="s">
        <v>69</v>
      </c>
      <c r="H5" s="280"/>
      <c r="I5" s="280"/>
      <c r="J5" s="280"/>
      <c r="K5" s="261" t="s">
        <v>96</v>
      </c>
      <c r="L5" s="260"/>
      <c r="M5" s="262"/>
    </row>
    <row r="6" spans="1:14" ht="4.5" customHeight="1" thickBot="1">
      <c r="A6" s="16"/>
      <c r="B6" s="17"/>
      <c r="C6" s="18"/>
      <c r="D6" s="18"/>
      <c r="E6" s="18"/>
      <c r="F6" s="18"/>
      <c r="G6" s="18"/>
      <c r="H6" s="18"/>
      <c r="I6" s="18"/>
      <c r="J6" s="12"/>
      <c r="K6" s="12"/>
      <c r="L6" s="12"/>
      <c r="M6" s="15"/>
      <c r="N6" s="158"/>
    </row>
    <row r="7" spans="1:13" ht="15.75" customHeight="1" thickBot="1">
      <c r="A7" s="16"/>
      <c r="B7" s="234" t="s">
        <v>61</v>
      </c>
      <c r="C7" s="235"/>
      <c r="E7" s="18"/>
      <c r="F7" s="18"/>
      <c r="G7" s="18"/>
      <c r="H7" s="19"/>
      <c r="I7" s="18"/>
      <c r="J7" s="19"/>
      <c r="K7" s="12"/>
      <c r="L7" s="12"/>
      <c r="M7" s="15"/>
    </row>
    <row r="8" spans="1:13" ht="15" customHeight="1">
      <c r="A8" s="16"/>
      <c r="B8" s="87" t="s">
        <v>58</v>
      </c>
      <c r="C8" s="21" t="s">
        <v>59</v>
      </c>
      <c r="D8" s="18"/>
      <c r="E8" s="22"/>
      <c r="F8" s="23"/>
      <c r="G8" s="23"/>
      <c r="H8" s="236" t="s">
        <v>63</v>
      </c>
      <c r="I8" s="237"/>
      <c r="J8" s="237"/>
      <c r="K8" s="237"/>
      <c r="L8" s="237"/>
      <c r="M8" s="24"/>
    </row>
    <row r="9" spans="1:13" ht="15">
      <c r="A9" s="16"/>
      <c r="B9" s="20" t="s">
        <v>60</v>
      </c>
      <c r="C9" s="83">
        <f>'Data Entry'!F14</f>
        <v>5</v>
      </c>
      <c r="D9" s="18"/>
      <c r="E9" s="17"/>
      <c r="F9" s="18"/>
      <c r="G9" s="18"/>
      <c r="H9" s="19"/>
      <c r="I9" s="18"/>
      <c r="J9" s="19"/>
      <c r="K9" s="12"/>
      <c r="L9" s="12"/>
      <c r="M9" s="15"/>
    </row>
    <row r="10" spans="1:13" ht="15">
      <c r="A10" s="16"/>
      <c r="B10" s="30" t="s">
        <v>20</v>
      </c>
      <c r="C10" s="106">
        <f>'Data Entry'!C11</f>
        <v>10</v>
      </c>
      <c r="D10" s="18"/>
      <c r="E10" s="17"/>
      <c r="F10" s="18"/>
      <c r="G10" s="108">
        <f>H10-$C$12</f>
        <v>550</v>
      </c>
      <c r="H10" s="108">
        <f>I10-$C$12</f>
        <v>600</v>
      </c>
      <c r="I10" s="108">
        <f>J10-$C$12</f>
        <v>650</v>
      </c>
      <c r="J10" s="109">
        <f>'Data Entry'!C8</f>
        <v>700</v>
      </c>
      <c r="K10" s="108">
        <f>J10+$C$12</f>
        <v>750</v>
      </c>
      <c r="L10" s="108">
        <f>K10+$C$12</f>
        <v>800</v>
      </c>
      <c r="M10" s="110">
        <f>L10+$C$12</f>
        <v>850</v>
      </c>
    </row>
    <row r="11" spans="1:13" ht="15">
      <c r="A11" s="16"/>
      <c r="B11" s="33" t="s">
        <v>106</v>
      </c>
      <c r="C11" s="46"/>
      <c r="D11" s="18"/>
      <c r="E11" s="17"/>
      <c r="F11" s="29" t="s">
        <v>6</v>
      </c>
      <c r="G11" s="18"/>
      <c r="H11" s="18"/>
      <c r="I11" s="18"/>
      <c r="J11" s="12"/>
      <c r="K11" s="12"/>
      <c r="L11" s="12"/>
      <c r="M11" s="15"/>
    </row>
    <row r="12" spans="1:13" ht="15">
      <c r="A12" s="16"/>
      <c r="B12" s="37" t="s">
        <v>56</v>
      </c>
      <c r="C12" s="61">
        <f>'Data Entry'!C17</f>
        <v>50</v>
      </c>
      <c r="D12" s="18"/>
      <c r="E12" s="32"/>
      <c r="F12" s="29" t="s">
        <v>7</v>
      </c>
      <c r="G12" s="274" t="s">
        <v>8</v>
      </c>
      <c r="H12" s="274"/>
      <c r="I12" s="274"/>
      <c r="J12" s="274"/>
      <c r="K12" s="274"/>
      <c r="L12" s="274"/>
      <c r="M12" s="275"/>
    </row>
    <row r="13" spans="1:13" ht="15.75" thickBot="1">
      <c r="A13" s="16"/>
      <c r="B13" s="43" t="s">
        <v>28</v>
      </c>
      <c r="C13" s="46"/>
      <c r="D13" s="18"/>
      <c r="E13" s="35" t="s">
        <v>9</v>
      </c>
      <c r="F13" s="36" t="s">
        <v>10</v>
      </c>
      <c r="G13" s="219" t="s">
        <v>18</v>
      </c>
      <c r="H13" s="219"/>
      <c r="I13" s="219"/>
      <c r="J13" s="219"/>
      <c r="K13" s="219"/>
      <c r="L13" s="219"/>
      <c r="M13" s="212"/>
    </row>
    <row r="14" spans="1:13" ht="15">
      <c r="A14" s="16"/>
      <c r="B14" s="113" t="s">
        <v>29</v>
      </c>
      <c r="C14" s="107">
        <f>'Data Entry'!C15</f>
        <v>30</v>
      </c>
      <c r="D14" s="18"/>
      <c r="E14" s="39" t="s">
        <v>11</v>
      </c>
      <c r="F14" s="40" t="s">
        <v>12</v>
      </c>
      <c r="G14" s="111">
        <f>'Data Entry'!$F$14/(G$10/(('Data Entry'!$C$9/100)*2200))</f>
        <v>9.200000000000001</v>
      </c>
      <c r="H14" s="111">
        <f>'Data Entry'!$F$14/(H$10/(('Data Entry'!$C$9/100)*2200))</f>
        <v>8.433333333333334</v>
      </c>
      <c r="I14" s="111">
        <f>'Data Entry'!$F$14/(I$10/(('Data Entry'!$C$9/100)*2200))</f>
        <v>7.784615384615385</v>
      </c>
      <c r="J14" s="111">
        <f>'Data Entry'!$F$14/(J$10/(('Data Entry'!$C$9/100)*2200))</f>
        <v>7.228571428571429</v>
      </c>
      <c r="K14" s="111">
        <f>'Data Entry'!$F$14/(K$10/(('Data Entry'!$C$9/100)*2200))</f>
        <v>6.746666666666666</v>
      </c>
      <c r="L14" s="111">
        <f>'Data Entry'!$F$14/(L$10/(('Data Entry'!$C$9/100)*2200))</f>
        <v>6.325</v>
      </c>
      <c r="M14" s="112">
        <f>'Data Entry'!$F$14/(M$10/(('Data Entry'!$C$9/100)*2200))</f>
        <v>5.952941176470588</v>
      </c>
    </row>
    <row r="15" spans="1:13" ht="15">
      <c r="A15" s="16"/>
      <c r="B15" s="43" t="s">
        <v>30</v>
      </c>
      <c r="C15" s="46"/>
      <c r="D15" s="18"/>
      <c r="E15" s="190">
        <f>IF((E19-4*$C$10)&lt;0,0,(E19-4*$C$10))</f>
        <v>30</v>
      </c>
      <c r="F15" s="126">
        <f>IF(((-0.0013*(E15+$C$14)^2+0.4159*(E15+$C$14))-(-0.0013*($C$14)^2+0.4159*($C$14)))&lt;0,0,(-0.0013*(E15+$C$14)^2+0.4159*(E15+$C$14))-(-0.0013*($C$14)^2+0.4159*($C$14)))</f>
        <v>8.967</v>
      </c>
      <c r="G15" s="135">
        <f>('Data Entry'!$F$14*$F15)-(G$10/(('Data Entry'!$C$9/100)*2200))*($E15)</f>
        <v>28.530652173913044</v>
      </c>
      <c r="H15" s="135">
        <f>('Data Entry'!$F$14*$F15)-(H$10/(('Data Entry'!$C$9/100)*2200))*($E15)</f>
        <v>27.048438735177864</v>
      </c>
      <c r="I15" s="135">
        <f>('Data Entry'!$F$14*$F15)-(I$10/(('Data Entry'!$C$9/100)*2200))*($E15)</f>
        <v>25.56622529644269</v>
      </c>
      <c r="J15" s="135">
        <f>('Data Entry'!$F$14*$F15)-(J$10/(('Data Entry'!$C$9/100)*2200))*($E15)</f>
        <v>24.08401185770751</v>
      </c>
      <c r="K15" s="135">
        <f>('Data Entry'!$F$14*$F15)-(K$10/(('Data Entry'!$C$9/100)*2200))*($E15)</f>
        <v>22.601798418972333</v>
      </c>
      <c r="L15" s="135">
        <f>('Data Entry'!$F$14*$F15)-(L$10/(('Data Entry'!$C$9/100)*2200))*($E15)</f>
        <v>21.119584980237157</v>
      </c>
      <c r="M15" s="136">
        <f>('Data Entry'!$F$14*$F15)-(M$10/(('Data Entry'!$C$9/100)*2200))*($E15)</f>
        <v>19.637371541501977</v>
      </c>
    </row>
    <row r="16" spans="1:13" ht="15">
      <c r="A16" s="16"/>
      <c r="B16" s="54"/>
      <c r="D16" s="18"/>
      <c r="E16" s="190">
        <f>IF((E20-4*$C$10)&lt;0,0,(E20-4*$C$10))</f>
        <v>40</v>
      </c>
      <c r="F16" s="126">
        <f aca="true" t="shared" si="0" ref="F16:F23">IF(((-0.0013*(E16+$C$14)^2+0.4159*(E16+$C$14))-(-0.0013*($C$14)^2+0.4159*($C$14)))&lt;0,0,(-0.0013*(E16+$C$14)^2+0.4159*(E16+$C$14))-(-0.0013*($C$14)^2+0.4159*($C$14)))</f>
        <v>11.435999999999998</v>
      </c>
      <c r="G16" s="135">
        <f>('Data Entry'!$F$14*$F16)-(G$10/(('Data Entry'!$C$9/100)*2200))*($E16)</f>
        <v>35.44086956521738</v>
      </c>
      <c r="H16" s="135">
        <f>('Data Entry'!$F$14*$F16)-(H$10/(('Data Entry'!$C$9/100)*2200))*($E16)</f>
        <v>33.46458498023715</v>
      </c>
      <c r="I16" s="135">
        <f>('Data Entry'!$F$14*$F16)-(I$10/(('Data Entry'!$C$9/100)*2200))*($E16)</f>
        <v>31.48830039525691</v>
      </c>
      <c r="J16" s="135">
        <f>('Data Entry'!$F$14*$F16)-(J$10/(('Data Entry'!$C$9/100)*2200))*($E16)</f>
        <v>29.512015810276672</v>
      </c>
      <c r="K16" s="135">
        <f>('Data Entry'!$F$14*$F16)-(K$10/(('Data Entry'!$C$9/100)*2200))*($E16)</f>
        <v>27.535731225296434</v>
      </c>
      <c r="L16" s="135">
        <f>('Data Entry'!$F$14*$F16)-(L$10/(('Data Entry'!$C$9/100)*2200))*($E16)</f>
        <v>25.5594466403162</v>
      </c>
      <c r="M16" s="136">
        <f>('Data Entry'!$F$14*$F16)-(M$10/(('Data Entry'!$C$9/100)*2200))*($E16)</f>
        <v>23.58316205533596</v>
      </c>
    </row>
    <row r="17" spans="1:13" ht="15">
      <c r="A17" s="16"/>
      <c r="B17" s="54"/>
      <c r="D17" s="18"/>
      <c r="E17" s="190">
        <f>IF((E21-4*$C$10)&lt;0,0,(E21-4*$C$10))</f>
        <v>50</v>
      </c>
      <c r="F17" s="126">
        <f t="shared" si="0"/>
        <v>13.644999999999998</v>
      </c>
      <c r="G17" s="135">
        <f>('Data Entry'!$F$14*$F17)-(G$10/(('Data Entry'!$C$9/100)*2200))*($E17)</f>
        <v>41.051086956521736</v>
      </c>
      <c r="H17" s="135">
        <f>('Data Entry'!$F$14*$F17)-(H$10/(('Data Entry'!$C$9/100)*2200))*($E17)</f>
        <v>38.58073122529643</v>
      </c>
      <c r="I17" s="135">
        <f>('Data Entry'!$F$14*$F17)-(I$10/(('Data Entry'!$C$9/100)*2200))*($E17)</f>
        <v>36.11037549407114</v>
      </c>
      <c r="J17" s="135">
        <f>('Data Entry'!$F$14*$F17)-(J$10/(('Data Entry'!$C$9/100)*2200))*($E17)</f>
        <v>33.640019762845846</v>
      </c>
      <c r="K17" s="135">
        <f>('Data Entry'!$F$14*$F17)-(K$10/(('Data Entry'!$C$9/100)*2200))*($E17)</f>
        <v>31.169664031620542</v>
      </c>
      <c r="L17" s="135">
        <f>('Data Entry'!$F$14*$F17)-(L$10/(('Data Entry'!$C$9/100)*2200))*($E17)</f>
        <v>28.699308300395252</v>
      </c>
      <c r="M17" s="136">
        <f>('Data Entry'!$F$14*$F17)-(M$10/(('Data Entry'!$C$9/100)*2200))*($E17)</f>
        <v>26.228952569169955</v>
      </c>
    </row>
    <row r="18" spans="1:13" ht="15.75" thickBot="1">
      <c r="A18" s="16"/>
      <c r="B18" s="17"/>
      <c r="C18" s="18"/>
      <c r="D18" s="18"/>
      <c r="E18" s="193">
        <f>IF((E22-4*$C$10)&lt;0,0,(E22-4*$C$10))</f>
        <v>60</v>
      </c>
      <c r="F18" s="126">
        <f t="shared" si="0"/>
        <v>15.593999999999996</v>
      </c>
      <c r="G18" s="135">
        <f>('Data Entry'!$F$14*$F18)-(G$10/(('Data Entry'!$C$9/100)*2200))*($E18)</f>
        <v>45.36130434782607</v>
      </c>
      <c r="H18" s="135">
        <f>('Data Entry'!$F$14*$F18)-(H$10/(('Data Entry'!$C$9/100)*2200))*($E18)</f>
        <v>42.39687747035571</v>
      </c>
      <c r="I18" s="135">
        <f>('Data Entry'!$F$14*$F18)-(I$10/(('Data Entry'!$C$9/100)*2200))*($E18)</f>
        <v>39.43245059288536</v>
      </c>
      <c r="J18" s="135">
        <f>('Data Entry'!$F$14*$F18)-(J$10/(('Data Entry'!$C$9/100)*2200))*($E18)</f>
        <v>36.468023715415</v>
      </c>
      <c r="K18" s="135">
        <f>('Data Entry'!$F$14*$F18)-(K$10/(('Data Entry'!$C$9/100)*2200))*($E18)</f>
        <v>33.50359683794465</v>
      </c>
      <c r="L18" s="135">
        <f>('Data Entry'!$F$14*$F18)-(L$10/(('Data Entry'!$C$9/100)*2200))*($E18)</f>
        <v>30.539169960474297</v>
      </c>
      <c r="M18" s="136">
        <f>('Data Entry'!$F$14*$F18)-(M$10/(('Data Entry'!$C$9/100)*2200))*($E18)</f>
        <v>27.574743083003938</v>
      </c>
    </row>
    <row r="19" spans="1:13" ht="15.75" thickBot="1">
      <c r="A19" s="16"/>
      <c r="B19" s="47"/>
      <c r="C19" s="48"/>
      <c r="D19" s="49" t="s">
        <v>13</v>
      </c>
      <c r="E19" s="50">
        <f>'Data Entry'!G9</f>
        <v>70</v>
      </c>
      <c r="F19" s="192">
        <f t="shared" si="0"/>
        <v>17.282999999999994</v>
      </c>
      <c r="G19" s="135">
        <f>('Data Entry'!$F$14*$F19)-(G$10/(('Data Entry'!$C$9/100)*2200))*($E19)</f>
        <v>48.3715217391304</v>
      </c>
      <c r="H19" s="135">
        <f>('Data Entry'!$F$14*$F19)-(H$10/(('Data Entry'!$C$9/100)*2200))*($E19)</f>
        <v>44.91302371541498</v>
      </c>
      <c r="I19" s="135">
        <f>('Data Entry'!$F$14*$F19)-(I$10/(('Data Entry'!$C$9/100)*2200))*($E19)</f>
        <v>41.45452569169957</v>
      </c>
      <c r="J19" s="135">
        <f>('Data Entry'!$F$14*$F19)-(J$10/(('Data Entry'!$C$9/100)*2200))*($E19)</f>
        <v>37.99602766798415</v>
      </c>
      <c r="K19" s="135">
        <f>('Data Entry'!$F$14*$F19)-(K$10/(('Data Entry'!$C$9/100)*2200))*($E19)</f>
        <v>34.53752964426874</v>
      </c>
      <c r="L19" s="135">
        <f>('Data Entry'!$F$14*$F19)-(L$10/(('Data Entry'!$C$9/100)*2200))*($E19)</f>
        <v>31.079031620553323</v>
      </c>
      <c r="M19" s="136">
        <f>('Data Entry'!$F$14*$F19)-(M$10/(('Data Entry'!$C$9/100)*2200))*($E19)</f>
        <v>27.62053359683791</v>
      </c>
    </row>
    <row r="20" spans="1:13" ht="15">
      <c r="A20" s="16"/>
      <c r="B20" s="17"/>
      <c r="C20" s="18"/>
      <c r="D20" s="18"/>
      <c r="E20" s="194">
        <f>E19+C10</f>
        <v>80</v>
      </c>
      <c r="F20" s="126">
        <f t="shared" si="0"/>
        <v>18.712000000000003</v>
      </c>
      <c r="G20" s="135">
        <f>('Data Entry'!$F$14*$F20)-(G$10/(('Data Entry'!$C$9/100)*2200))*($E20)</f>
        <v>50.0817391304348</v>
      </c>
      <c r="H20" s="135">
        <f>('Data Entry'!$F$14*$F20)-(H$10/(('Data Entry'!$C$9/100)*2200))*($E20)</f>
        <v>46.12916996047432</v>
      </c>
      <c r="I20" s="135">
        <f>('Data Entry'!$F$14*$F20)-(I$10/(('Data Entry'!$C$9/100)*2200))*($E20)</f>
        <v>42.17660079051385</v>
      </c>
      <c r="J20" s="135">
        <f>('Data Entry'!$F$14*$F20)-(J$10/(('Data Entry'!$C$9/100)*2200))*($E20)</f>
        <v>38.224031620553376</v>
      </c>
      <c r="K20" s="135">
        <f>('Data Entry'!$F$14*$F20)-(K$10/(('Data Entry'!$C$9/100)*2200))*($E20)</f>
        <v>34.2714624505929</v>
      </c>
      <c r="L20" s="135">
        <f>('Data Entry'!$F$14*$F20)-(L$10/(('Data Entry'!$C$9/100)*2200))*($E20)</f>
        <v>30.31889328063243</v>
      </c>
      <c r="M20" s="136">
        <f>('Data Entry'!$F$14*$F20)-(M$10/(('Data Entry'!$C$9/100)*2200))*($E20)</f>
        <v>26.366324110671954</v>
      </c>
    </row>
    <row r="21" spans="1:13" ht="15">
      <c r="A21" s="16"/>
      <c r="B21" s="17"/>
      <c r="C21" s="52"/>
      <c r="D21" s="18"/>
      <c r="E21" s="190">
        <f>E19+2*C10</f>
        <v>90</v>
      </c>
      <c r="F21" s="126">
        <f t="shared" si="0"/>
        <v>19.881</v>
      </c>
      <c r="G21" s="135">
        <f>('Data Entry'!$F$14*$F21)-(G$10/(('Data Entry'!$C$9/100)*2200))*($E21)</f>
        <v>50.491956521739134</v>
      </c>
      <c r="H21" s="135">
        <f>('Data Entry'!$F$14*$F21)-(H$10/(('Data Entry'!$C$9/100)*2200))*($E21)</f>
        <v>46.045316205533595</v>
      </c>
      <c r="I21" s="135">
        <f>('Data Entry'!$F$14*$F21)-(I$10/(('Data Entry'!$C$9/100)*2200))*($E21)</f>
        <v>41.59867588932807</v>
      </c>
      <c r="J21" s="135">
        <f>('Data Entry'!$F$14*$F21)-(J$10/(('Data Entry'!$C$9/100)*2200))*($E21)</f>
        <v>37.15203557312253</v>
      </c>
      <c r="K21" s="135">
        <f>('Data Entry'!$F$14*$F21)-(K$10/(('Data Entry'!$C$9/100)*2200))*($E21)</f>
        <v>32.70539525691699</v>
      </c>
      <c r="L21" s="135">
        <f>('Data Entry'!$F$14*$F21)-(L$10/(('Data Entry'!$C$9/100)*2200))*($E21)</f>
        <v>28.25875494071147</v>
      </c>
      <c r="M21" s="136">
        <f>('Data Entry'!$F$14*$F21)-(M$10/(('Data Entry'!$C$9/100)*2200))*($E21)</f>
        <v>23.812114624505924</v>
      </c>
    </row>
    <row r="22" spans="1:13" ht="15">
      <c r="A22" s="16"/>
      <c r="B22" s="17"/>
      <c r="C22" s="18"/>
      <c r="D22" s="18"/>
      <c r="E22" s="190">
        <f>E19+3*C10</f>
        <v>100</v>
      </c>
      <c r="F22" s="126">
        <f t="shared" si="0"/>
        <v>20.79</v>
      </c>
      <c r="G22" s="135">
        <f>('Data Entry'!$F$14*$F22)-(G$10/(('Data Entry'!$C$9/100)*2200))*($E22)</f>
        <v>49.60217391304347</v>
      </c>
      <c r="H22" s="135">
        <f>('Data Entry'!$F$14*$F22)-(H$10/(('Data Entry'!$C$9/100)*2200))*($E22)</f>
        <v>44.66146245059287</v>
      </c>
      <c r="I22" s="135">
        <f>('Data Entry'!$F$14*$F22)-(I$10/(('Data Entry'!$C$9/100)*2200))*($E22)</f>
        <v>39.720750988142285</v>
      </c>
      <c r="J22" s="135">
        <f>('Data Entry'!$F$14*$F22)-(J$10/(('Data Entry'!$C$9/100)*2200))*($E22)</f>
        <v>34.78003952569169</v>
      </c>
      <c r="K22" s="135">
        <f>('Data Entry'!$F$14*$F22)-(K$10/(('Data Entry'!$C$9/100)*2200))*($E22)</f>
        <v>29.839328063241084</v>
      </c>
      <c r="L22" s="135">
        <f>('Data Entry'!$F$14*$F22)-(L$10/(('Data Entry'!$C$9/100)*2200))*($E22)</f>
        <v>24.898616600790504</v>
      </c>
      <c r="M22" s="136">
        <f>('Data Entry'!$F$14*$F22)-(M$10/(('Data Entry'!$C$9/100)*2200))*($E22)</f>
        <v>19.95790513833991</v>
      </c>
    </row>
    <row r="23" spans="1:13" ht="15">
      <c r="A23" s="16"/>
      <c r="B23" s="17"/>
      <c r="C23" s="18"/>
      <c r="D23" s="18"/>
      <c r="E23" s="190">
        <f>E19+4*C10</f>
        <v>110</v>
      </c>
      <c r="F23" s="126">
        <f t="shared" si="0"/>
        <v>21.438999999999993</v>
      </c>
      <c r="G23" s="135">
        <f>('Data Entry'!$F$14*$F23)-(G$10/(('Data Entry'!$C$9/100)*2200))*($E23)</f>
        <v>47.41239130434779</v>
      </c>
      <c r="H23" s="135">
        <f>('Data Entry'!$F$14*$F23)-(H$10/(('Data Entry'!$C$9/100)*2200))*($E23)</f>
        <v>41.97760869565214</v>
      </c>
      <c r="I23" s="135">
        <f>('Data Entry'!$F$14*$F23)-(I$10/(('Data Entry'!$C$9/100)*2200))*($E23)</f>
        <v>36.542826086956495</v>
      </c>
      <c r="J23" s="135">
        <f>('Data Entry'!$F$14*$F23)-(J$10/(('Data Entry'!$C$9/100)*2200))*($E23)</f>
        <v>31.10804347826084</v>
      </c>
      <c r="K23" s="135">
        <f>('Data Entry'!$F$14*$F23)-(K$10/(('Data Entry'!$C$9/100)*2200))*($E23)</f>
        <v>25.673260869565183</v>
      </c>
      <c r="L23" s="135">
        <f>('Data Entry'!$F$14*$F23)-(L$10/(('Data Entry'!$C$9/100)*2200))*($E23)</f>
        <v>20.238478260869528</v>
      </c>
      <c r="M23" s="136">
        <f>('Data Entry'!$F$14*$F23)-(M$10/(('Data Entry'!$C$9/100)*2200))*($E23)</f>
        <v>14.803695652173872</v>
      </c>
    </row>
    <row r="24" spans="1:13" ht="13.5" customHeight="1">
      <c r="A24" s="16"/>
      <c r="B24" s="17"/>
      <c r="C24" s="18"/>
      <c r="D24" s="18"/>
      <c r="E24" s="263" t="s">
        <v>51</v>
      </c>
      <c r="F24" s="264"/>
      <c r="G24" s="277"/>
      <c r="H24" s="277"/>
      <c r="I24" s="277"/>
      <c r="J24" s="277"/>
      <c r="K24" s="277"/>
      <c r="L24" s="277"/>
      <c r="M24" s="278"/>
    </row>
    <row r="25" spans="1:13" ht="9.75" customHeight="1">
      <c r="A25" s="16"/>
      <c r="B25" s="17"/>
      <c r="C25" s="18"/>
      <c r="D25" s="18"/>
      <c r="E25" s="263" t="s">
        <v>16</v>
      </c>
      <c r="F25" s="264"/>
      <c r="G25" s="264"/>
      <c r="H25" s="264"/>
      <c r="I25" s="264"/>
      <c r="J25" s="264"/>
      <c r="K25" s="264"/>
      <c r="L25" s="264"/>
      <c r="M25" s="265"/>
    </row>
    <row r="26" spans="1:13" ht="9.75" customHeight="1">
      <c r="A26" s="16"/>
      <c r="B26" s="17"/>
      <c r="C26" s="18"/>
      <c r="D26" s="18"/>
      <c r="E26" s="263" t="s">
        <v>19</v>
      </c>
      <c r="F26" s="264"/>
      <c r="G26" s="264"/>
      <c r="H26" s="264"/>
      <c r="I26" s="264"/>
      <c r="J26" s="264"/>
      <c r="K26" s="264"/>
      <c r="L26" s="264"/>
      <c r="M26" s="265"/>
    </row>
    <row r="27" spans="1:19" ht="11.25" customHeight="1">
      <c r="A27" s="16"/>
      <c r="B27" s="17"/>
      <c r="C27" s="18"/>
      <c r="D27" s="18"/>
      <c r="E27" s="249" t="s">
        <v>85</v>
      </c>
      <c r="F27" s="284"/>
      <c r="G27" s="284"/>
      <c r="H27" s="284"/>
      <c r="I27" s="284"/>
      <c r="J27" s="284"/>
      <c r="K27" s="284"/>
      <c r="L27" s="284"/>
      <c r="M27" s="262"/>
      <c r="N27" s="130"/>
      <c r="O27"/>
      <c r="P27"/>
      <c r="Q27"/>
      <c r="R27"/>
      <c r="S27"/>
    </row>
    <row r="28" spans="1:13" ht="12" customHeight="1" thickBot="1">
      <c r="A28" s="16"/>
      <c r="B28" s="17"/>
      <c r="C28" s="18"/>
      <c r="D28" s="18"/>
      <c r="E28" s="269" t="s">
        <v>38</v>
      </c>
      <c r="F28" s="271"/>
      <c r="G28" s="271"/>
      <c r="H28" s="271"/>
      <c r="I28" s="271"/>
      <c r="J28" s="272"/>
      <c r="K28" s="272"/>
      <c r="L28" s="272"/>
      <c r="M28" s="273"/>
    </row>
    <row r="29" spans="1:13" ht="11.25" customHeight="1">
      <c r="A29" s="16"/>
      <c r="B29" s="17"/>
      <c r="C29" s="18"/>
      <c r="D29" s="18"/>
      <c r="E29" s="53"/>
      <c r="F29" s="53"/>
      <c r="G29" s="53"/>
      <c r="H29" s="53"/>
      <c r="I29" s="53"/>
      <c r="J29" s="12"/>
      <c r="K29" s="12"/>
      <c r="L29" s="12"/>
      <c r="M29" s="15"/>
    </row>
    <row r="30" spans="2:13" ht="11.25" customHeight="1" thickBot="1">
      <c r="B30" s="76"/>
      <c r="C30" s="81"/>
      <c r="D30" s="81"/>
      <c r="E30" s="81"/>
      <c r="F30" s="81"/>
      <c r="G30" s="81"/>
      <c r="H30" s="81"/>
      <c r="I30" s="81"/>
      <c r="J30" s="55"/>
      <c r="K30" s="55"/>
      <c r="L30" s="55"/>
      <c r="M30" s="56"/>
    </row>
  </sheetData>
  <sheetProtection password="CE5A" sheet="1" objects="1" scenarios="1"/>
  <mergeCells count="14">
    <mergeCell ref="B2:M2"/>
    <mergeCell ref="B3:M3"/>
    <mergeCell ref="B7:C7"/>
    <mergeCell ref="D5:F5"/>
    <mergeCell ref="G5:J5"/>
    <mergeCell ref="K5:M5"/>
    <mergeCell ref="E28:M28"/>
    <mergeCell ref="E27:M27"/>
    <mergeCell ref="H8:L8"/>
    <mergeCell ref="E25:M25"/>
    <mergeCell ref="E26:M26"/>
    <mergeCell ref="G12:M12"/>
    <mergeCell ref="G13:M13"/>
    <mergeCell ref="E24:M24"/>
  </mergeCells>
  <conditionalFormatting sqref="I15:I23">
    <cfRule type="cellIs" priority="1" dxfId="0" operator="between" stopIfTrue="1">
      <formula>MAX($I$15:$I$23)-0.5</formula>
      <formula>MAX($I$15:$I$23)+0.5</formula>
    </cfRule>
    <cfRule type="cellIs" priority="2" dxfId="1" operator="between" stopIfTrue="1">
      <formula>MAX($I$15:$I$23)-0.5</formula>
      <formula>MAX($I$15:$I$23)-1.5</formula>
    </cfRule>
    <cfRule type="cellIs" priority="3" dxfId="1" operator="between" stopIfTrue="1">
      <formula>MAX($I$15:$I$23)+0.5</formula>
      <formula>MAX($I$15:$I$23)+1.5</formula>
    </cfRule>
  </conditionalFormatting>
  <conditionalFormatting sqref="J15:J23">
    <cfRule type="cellIs" priority="4" dxfId="0" operator="between" stopIfTrue="1">
      <formula>MAX($J$15:$J$23)-0.5</formula>
      <formula>MAX($J$15:$J$23)+0.5</formula>
    </cfRule>
    <cfRule type="cellIs" priority="5" dxfId="1" operator="between" stopIfTrue="1">
      <formula>MAX($J$15:$J$23)-0.5</formula>
      <formula>MAX($J$15:$J$23)-1.5</formula>
    </cfRule>
    <cfRule type="cellIs" priority="6" dxfId="1" operator="between" stopIfTrue="1">
      <formula>MAX($J$15:$J$23)+0.5</formula>
      <formula>MAX($J$15:$J$23)+1.5</formula>
    </cfRule>
  </conditionalFormatting>
  <conditionalFormatting sqref="K15:K23">
    <cfRule type="cellIs" priority="7" dxfId="0" operator="between" stopIfTrue="1">
      <formula>MAX($K$15:$K$23)-0.5</formula>
      <formula>MAX($K$15:$K$23)+0.5</formula>
    </cfRule>
    <cfRule type="cellIs" priority="8" dxfId="1" operator="between" stopIfTrue="1">
      <formula>MAX($K$15:$K$23)-0.5</formula>
      <formula>MAX($K$15:$K$23)-1.5</formula>
    </cfRule>
    <cfRule type="cellIs" priority="9" dxfId="1" operator="between" stopIfTrue="1">
      <formula>MAX($K$15:$K$23)+0.5</formula>
      <formula>MAX($K$15:$K$23)+1.5</formula>
    </cfRule>
  </conditionalFormatting>
  <conditionalFormatting sqref="G15:G23">
    <cfRule type="cellIs" priority="10" dxfId="0" operator="between" stopIfTrue="1">
      <formula>MAX($G$15:$G$23)-0.5</formula>
      <formula>MAX($G$15:$G$23)+0.5</formula>
    </cfRule>
    <cfRule type="cellIs" priority="11" dxfId="1" operator="between" stopIfTrue="1">
      <formula>MAX($G$15:$G$23)-0.5</formula>
      <formula>MAX($G$15:$G$23)-1.5</formula>
    </cfRule>
    <cfRule type="cellIs" priority="12" dxfId="1" operator="between" stopIfTrue="1">
      <formula>MAX($G$15:$G$23)+0.5</formula>
      <formula>MAX($G$15:$G$23)+1.5</formula>
    </cfRule>
  </conditionalFormatting>
  <conditionalFormatting sqref="H15:H23">
    <cfRule type="cellIs" priority="13" dxfId="0" operator="between" stopIfTrue="1">
      <formula>MAX($H$15:$H$23)-0.5</formula>
      <formula>MAX($H$15:$H$23)+0.5</formula>
    </cfRule>
    <cfRule type="cellIs" priority="14" dxfId="1" operator="between" stopIfTrue="1">
      <formula>MAX($H$15:$H$23)-0.5</formula>
      <formula>MAX($H$15:$H$23)-1.5</formula>
    </cfRule>
    <cfRule type="cellIs" priority="15" dxfId="1" operator="between" stopIfTrue="1">
      <formula>MAX($H$15:$H$23)+0.5</formula>
      <formula>MAX($H$15:$HG$23)+1.5</formula>
    </cfRule>
  </conditionalFormatting>
  <conditionalFormatting sqref="L15:L23">
    <cfRule type="cellIs" priority="16" dxfId="0" operator="between" stopIfTrue="1">
      <formula>MAX($L$15:$L$23)-0.5</formula>
      <formula>MAX($L$15:$L$23)+0.5</formula>
    </cfRule>
    <cfRule type="cellIs" priority="17" dxfId="1" operator="between" stopIfTrue="1">
      <formula>MAX($L$15:$L$23)-0.5</formula>
      <formula>MAX($L$15:$L$23)-1.5</formula>
    </cfRule>
    <cfRule type="cellIs" priority="18" dxfId="1" operator="between" stopIfTrue="1">
      <formula>MAX($L$15:$L$23)+0.5</formula>
      <formula>MAX($L$15:$L$23)+1.5</formula>
    </cfRule>
  </conditionalFormatting>
  <conditionalFormatting sqref="M15:M23">
    <cfRule type="cellIs" priority="19" dxfId="0" operator="between" stopIfTrue="1">
      <formula>MAX($M$15:$M$23)-0.5</formula>
      <formula>MAX($M$15:$M$23)+0.5</formula>
    </cfRule>
    <cfRule type="cellIs" priority="20" dxfId="1" operator="between" stopIfTrue="1">
      <formula>MAX($M$15:$M$23)-0.5</formula>
      <formula>MAX($M$15:$M$23)-1.5</formula>
    </cfRule>
    <cfRule type="cellIs" priority="21" dxfId="1" operator="between" stopIfTrue="1">
      <formula>MAX($M$15:$M$23)+0.5</formula>
      <formula>MAX($M$15:$M$23)+1.5</formula>
    </cfRule>
  </conditionalFormatting>
  <hyperlinks>
    <hyperlink ref="D5" location="'Wheat (Dry) Crop'!A1" display="Return to Wheat (Dry) as variable"/>
    <hyperlink ref="G5" location="'Wheat (Dry) MR'!A1" display="Go to Marginal Return Chart"/>
    <hyperlink ref="K5" location="'Data Entry'!A1" display="Return to Data Entry"/>
  </hyperlinks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30"/>
  <sheetViews>
    <sheetView showGridLines="0" workbookViewId="0" topLeftCell="A1">
      <selection activeCell="F20" sqref="F20"/>
    </sheetView>
  </sheetViews>
  <sheetFormatPr defaultColWidth="9.140625" defaultRowHeight="12.75"/>
  <cols>
    <col min="1" max="1" width="1.57421875" style="10" customWidth="1"/>
    <col min="2" max="2" width="17.140625" style="10" customWidth="1"/>
    <col min="3" max="3" width="9.140625" style="10" customWidth="1"/>
    <col min="4" max="4" width="11.140625" style="10" customWidth="1"/>
    <col min="5" max="5" width="9.140625" style="10" customWidth="1"/>
    <col min="6" max="6" width="13.57421875" style="10" customWidth="1"/>
    <col min="7" max="13" width="9.140625" style="10" customWidth="1"/>
    <col min="14" max="14" width="13.421875" style="10" customWidth="1"/>
    <col min="15" max="16384" width="9.140625" style="10" customWidth="1"/>
  </cols>
  <sheetData>
    <row r="1" spans="2:9" ht="6" customHeight="1" thickBot="1">
      <c r="B1" s="11"/>
      <c r="C1" s="11"/>
      <c r="D1" s="11"/>
      <c r="E1" s="11"/>
      <c r="F1" s="11"/>
      <c r="G1" s="11"/>
      <c r="H1" s="11"/>
      <c r="I1" s="11"/>
    </row>
    <row r="2" spans="1:13" ht="20.25">
      <c r="A2" s="11"/>
      <c r="B2" s="254" t="s">
        <v>40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6"/>
    </row>
    <row r="3" spans="1:13" ht="20.25">
      <c r="A3" s="11"/>
      <c r="B3" s="257" t="s">
        <v>49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9"/>
    </row>
    <row r="4" spans="1:14" ht="6.75" customHeight="1">
      <c r="A4" s="11"/>
      <c r="B4" s="13"/>
      <c r="C4" s="14"/>
      <c r="D4" s="14"/>
      <c r="E4" s="14"/>
      <c r="F4" s="14"/>
      <c r="G4" s="14"/>
      <c r="H4" s="14"/>
      <c r="I4" s="14"/>
      <c r="J4" s="12"/>
      <c r="L4" s="12"/>
      <c r="M4" s="15"/>
      <c r="N4" s="158"/>
    </row>
    <row r="5" spans="2:13" ht="12.75">
      <c r="B5" s="198"/>
      <c r="C5" s="199"/>
      <c r="D5" s="279" t="s">
        <v>79</v>
      </c>
      <c r="E5" s="280"/>
      <c r="F5" s="280"/>
      <c r="G5" s="279" t="s">
        <v>75</v>
      </c>
      <c r="H5" s="280"/>
      <c r="I5" s="280"/>
      <c r="J5" s="280"/>
      <c r="K5" s="261" t="s">
        <v>96</v>
      </c>
      <c r="L5" s="260"/>
      <c r="M5" s="262"/>
    </row>
    <row r="6" spans="1:14" ht="4.5" customHeight="1" thickBot="1">
      <c r="A6" s="16"/>
      <c r="B6" s="17"/>
      <c r="C6" s="18"/>
      <c r="D6" s="18"/>
      <c r="E6" s="18"/>
      <c r="F6" s="18"/>
      <c r="G6" s="209"/>
      <c r="H6" s="209"/>
      <c r="I6" s="209"/>
      <c r="J6" s="155"/>
      <c r="K6" s="12"/>
      <c r="L6" s="12"/>
      <c r="M6" s="15"/>
      <c r="N6" s="158"/>
    </row>
    <row r="7" spans="1:14" ht="15.75" customHeight="1" thickBot="1">
      <c r="A7" s="16"/>
      <c r="B7" s="234" t="s">
        <v>61</v>
      </c>
      <c r="C7" s="235"/>
      <c r="E7" s="18"/>
      <c r="F7" s="18"/>
      <c r="G7" s="18"/>
      <c r="H7" s="19"/>
      <c r="I7" s="18"/>
      <c r="J7" s="19"/>
      <c r="K7" s="12"/>
      <c r="L7" s="12"/>
      <c r="M7" s="15"/>
      <c r="N7" s="158"/>
    </row>
    <row r="8" spans="1:13" ht="15" customHeight="1">
      <c r="A8" s="16"/>
      <c r="B8" s="87" t="s">
        <v>58</v>
      </c>
      <c r="C8" s="21" t="s">
        <v>59</v>
      </c>
      <c r="D8" s="18"/>
      <c r="E8" s="22"/>
      <c r="F8" s="23"/>
      <c r="G8" s="23"/>
      <c r="H8" s="236" t="s">
        <v>63</v>
      </c>
      <c r="I8" s="237"/>
      <c r="J8" s="237"/>
      <c r="K8" s="237"/>
      <c r="L8" s="237"/>
      <c r="M8" s="24"/>
    </row>
    <row r="9" spans="1:13" ht="15">
      <c r="A9" s="16"/>
      <c r="B9" s="20" t="s">
        <v>60</v>
      </c>
      <c r="C9" s="83">
        <f>'Data Entry'!F14</f>
        <v>5</v>
      </c>
      <c r="D9" s="18"/>
      <c r="E9" s="17"/>
      <c r="F9" s="18"/>
      <c r="G9" s="18"/>
      <c r="H9" s="19"/>
      <c r="I9" s="18"/>
      <c r="J9" s="19"/>
      <c r="K9" s="12"/>
      <c r="L9" s="12"/>
      <c r="M9" s="15"/>
    </row>
    <row r="10" spans="1:13" ht="15">
      <c r="A10" s="16"/>
      <c r="B10" s="30" t="s">
        <v>20</v>
      </c>
      <c r="C10" s="106">
        <f>'Data Entry'!C11</f>
        <v>10</v>
      </c>
      <c r="D10" s="18"/>
      <c r="E10" s="17"/>
      <c r="F10" s="18"/>
      <c r="G10" s="108">
        <f>H10-$C$12</f>
        <v>550</v>
      </c>
      <c r="H10" s="108">
        <f>I10-$C$12</f>
        <v>600</v>
      </c>
      <c r="I10" s="108">
        <f>J10-$C$12</f>
        <v>650</v>
      </c>
      <c r="J10" s="109">
        <f>'Data Entry'!C8</f>
        <v>700</v>
      </c>
      <c r="K10" s="108">
        <f>J10+$C$12</f>
        <v>750</v>
      </c>
      <c r="L10" s="108">
        <f>K10+$C$12</f>
        <v>800</v>
      </c>
      <c r="M10" s="110">
        <f>L10+$C$12</f>
        <v>850</v>
      </c>
    </row>
    <row r="11" spans="1:13" ht="15">
      <c r="A11" s="16"/>
      <c r="B11" s="33" t="s">
        <v>106</v>
      </c>
      <c r="C11" s="46"/>
      <c r="D11" s="18"/>
      <c r="E11" s="17"/>
      <c r="F11" s="29" t="s">
        <v>6</v>
      </c>
      <c r="G11" s="18"/>
      <c r="H11" s="18"/>
      <c r="I11" s="18"/>
      <c r="J11" s="12"/>
      <c r="K11" s="12"/>
      <c r="L11" s="12"/>
      <c r="M11" s="15"/>
    </row>
    <row r="12" spans="1:13" ht="15">
      <c r="A12" s="16"/>
      <c r="B12" s="37" t="s">
        <v>56</v>
      </c>
      <c r="C12" s="61">
        <f>'Data Entry'!C17</f>
        <v>50</v>
      </c>
      <c r="D12" s="18"/>
      <c r="E12" s="32"/>
      <c r="F12" s="29" t="s">
        <v>7</v>
      </c>
      <c r="G12" s="274" t="s">
        <v>8</v>
      </c>
      <c r="H12" s="274"/>
      <c r="I12" s="274"/>
      <c r="J12" s="274"/>
      <c r="K12" s="274"/>
      <c r="L12" s="274"/>
      <c r="M12" s="275"/>
    </row>
    <row r="13" spans="1:13" ht="15.75" thickBot="1">
      <c r="A13" s="16"/>
      <c r="B13" s="43" t="s">
        <v>28</v>
      </c>
      <c r="C13" s="46"/>
      <c r="D13" s="18"/>
      <c r="E13" s="35" t="s">
        <v>9</v>
      </c>
      <c r="F13" s="36" t="s">
        <v>10</v>
      </c>
      <c r="G13" s="219" t="s">
        <v>18</v>
      </c>
      <c r="H13" s="219"/>
      <c r="I13" s="219"/>
      <c r="J13" s="219"/>
      <c r="K13" s="219"/>
      <c r="L13" s="219"/>
      <c r="M13" s="212"/>
    </row>
    <row r="14" spans="1:13" ht="15">
      <c r="A14" s="16"/>
      <c r="B14" s="113" t="s">
        <v>29</v>
      </c>
      <c r="C14" s="107">
        <f>'Data Entry'!C15</f>
        <v>30</v>
      </c>
      <c r="D14" s="18"/>
      <c r="E14" s="39" t="s">
        <v>11</v>
      </c>
      <c r="F14" s="40" t="s">
        <v>12</v>
      </c>
      <c r="G14" s="111">
        <f>'Data Entry'!$F$14/(G$10/(('Data Entry'!$C$9/100)*2200))</f>
        <v>9.200000000000001</v>
      </c>
      <c r="H14" s="111">
        <f>'Data Entry'!$F$14/(H$10/(('Data Entry'!$C$9/100)*2200))</f>
        <v>8.433333333333334</v>
      </c>
      <c r="I14" s="111">
        <f>'Data Entry'!$F$14/(I$10/(('Data Entry'!$C$9/100)*2200))</f>
        <v>7.784615384615385</v>
      </c>
      <c r="J14" s="111">
        <f>'Data Entry'!$F$14/(J$10/(('Data Entry'!$C$9/100)*2200))</f>
        <v>7.228571428571429</v>
      </c>
      <c r="K14" s="111">
        <f>'Data Entry'!$F$14/(K$10/(('Data Entry'!$C$9/100)*2200))</f>
        <v>6.746666666666666</v>
      </c>
      <c r="L14" s="111">
        <f>'Data Entry'!$F$14/(L$10/(('Data Entry'!$C$9/100)*2200))</f>
        <v>6.325</v>
      </c>
      <c r="M14" s="112">
        <f>'Data Entry'!$F$14/(M$10/(('Data Entry'!$C$9/100)*2200))</f>
        <v>5.952941176470588</v>
      </c>
    </row>
    <row r="15" spans="1:13" ht="15">
      <c r="A15" s="16"/>
      <c r="B15" s="43" t="s">
        <v>30</v>
      </c>
      <c r="C15" s="46"/>
      <c r="D15" s="18"/>
      <c r="E15" s="190">
        <f>IF((E19-4*$C$10)&lt;0,0,(E19-4*$C$10))</f>
        <v>0</v>
      </c>
      <c r="F15" s="126">
        <f>IF(((-0.0038*(E15+$C$14)^2+0.5464*(E15+$C$14))-(-0.0038*($C$14)^2+0.5464*($C$14)))&lt;0,0,(-0.0038*(E15+$C$14)^2+0.5464*(E15+$C$14))-(-0.0038*($C$14)^2+0.5464*($C$14)))</f>
        <v>0</v>
      </c>
      <c r="G15" s="135">
        <f>('Data Entry'!$F$14*$F15)-(G$10/(('Data Entry'!$C$9/100)*2200))*($E15)</f>
        <v>0</v>
      </c>
      <c r="H15" s="135">
        <f>('Data Entry'!$F$14*$F15)-(H$10/(('Data Entry'!$C$9/100)*2200))*($E15)</f>
        <v>0</v>
      </c>
      <c r="I15" s="135">
        <f>('Data Entry'!$F$14*$F15)-(I$10/(('Data Entry'!$C$9/100)*2200))*($E15)</f>
        <v>0</v>
      </c>
      <c r="J15" s="135">
        <f>('Data Entry'!$F$14*$F15)-(J$10/(('Data Entry'!$C$9/100)*2200))*($E15)</f>
        <v>0</v>
      </c>
      <c r="K15" s="135">
        <f>('Data Entry'!$F$14*$F15)-(K$10/(('Data Entry'!$C$9/100)*2200))*($E15)</f>
        <v>0</v>
      </c>
      <c r="L15" s="135">
        <f>('Data Entry'!$F$14*$F15)-(L$10/(('Data Entry'!$C$9/100)*2200))*($E15)</f>
        <v>0</v>
      </c>
      <c r="M15" s="136">
        <f>('Data Entry'!$F$14*$F15)-(M$10/(('Data Entry'!$C$9/100)*2200))*($E15)</f>
        <v>0</v>
      </c>
    </row>
    <row r="16" spans="1:13" ht="15">
      <c r="A16" s="16"/>
      <c r="B16" s="114"/>
      <c r="C16" s="115"/>
      <c r="D16" s="18"/>
      <c r="E16" s="190">
        <f>IF((E20-4*$C$10)&lt;0,0,(E20-4*$C$10))</f>
        <v>10</v>
      </c>
      <c r="F16" s="126">
        <f>IF(((-0.0038*(E16+$C$14)^2+0.5464*(E16+$C$14))-(-0.0038*($C$14)^2+0.5464*($C$14)))&lt;0,0,(-0.0038*(E16+$C$14)^2+0.5464*(E16+$C$14))-(-0.0038*($C$14)^2+0.5464*($C$14)))</f>
        <v>2.804000000000002</v>
      </c>
      <c r="G16" s="135">
        <f>('Data Entry'!$F$14*$F16)-(G$10/(('Data Entry'!$C$9/100)*2200))*($E16)</f>
        <v>8.585217391304358</v>
      </c>
      <c r="H16" s="135">
        <f>('Data Entry'!$F$14*$F16)-(H$10/(('Data Entry'!$C$9/100)*2200))*($E16)</f>
        <v>8.0911462450593</v>
      </c>
      <c r="I16" s="135">
        <f>('Data Entry'!$F$14*$F16)-(I$10/(('Data Entry'!$C$9/100)*2200))*($E16)</f>
        <v>7.59707509881424</v>
      </c>
      <c r="J16" s="135">
        <f>('Data Entry'!$F$14*$F16)-(J$10/(('Data Entry'!$C$9/100)*2200))*($E16)</f>
        <v>7.10300395256918</v>
      </c>
      <c r="K16" s="135">
        <f>('Data Entry'!$F$14*$F16)-(K$10/(('Data Entry'!$C$9/100)*2200))*($E16)</f>
        <v>6.608932806324121</v>
      </c>
      <c r="L16" s="135">
        <f>('Data Entry'!$F$14*$F16)-(L$10/(('Data Entry'!$C$9/100)*2200))*($E16)</f>
        <v>6.114861660079062</v>
      </c>
      <c r="M16" s="136">
        <f>('Data Entry'!$F$14*$F16)-(M$10/(('Data Entry'!$C$9/100)*2200))*($E16)</f>
        <v>5.620790513834002</v>
      </c>
    </row>
    <row r="17" spans="1:13" ht="15">
      <c r="A17" s="16"/>
      <c r="B17" s="116"/>
      <c r="C17" s="117"/>
      <c r="D17" s="18"/>
      <c r="E17" s="190">
        <f>IF((E21-4*$C$10)&lt;0,0,(E21-4*$C$10))</f>
        <v>20</v>
      </c>
      <c r="F17" s="126">
        <f aca="true" t="shared" si="0" ref="F17:F23">IF(((-0.0038*(E17+$C$14)^2+0.5464*(E17+$C$14))-(-0.0038*($C$14)^2+0.5464*($C$14)))&lt;0,0,(-0.0038*(E17+$C$14)^2+0.5464*(E17+$C$14))-(-0.0038*($C$14)^2+0.5464*($C$14)))</f>
        <v>4.848000000000001</v>
      </c>
      <c r="G17" s="135">
        <f>('Data Entry'!$F$14*$F17)-(G$10/(('Data Entry'!$C$9/100)*2200))*($E17)</f>
        <v>13.370434782608697</v>
      </c>
      <c r="H17" s="135">
        <f>('Data Entry'!$F$14*$F17)-(H$10/(('Data Entry'!$C$9/100)*2200))*($E17)</f>
        <v>12.382292490118578</v>
      </c>
      <c r="I17" s="135">
        <f>('Data Entry'!$F$14*$F17)-(I$10/(('Data Entry'!$C$9/100)*2200))*($E17)</f>
        <v>11.394150197628461</v>
      </c>
      <c r="J17" s="135">
        <f>('Data Entry'!$F$14*$F17)-(J$10/(('Data Entry'!$C$9/100)*2200))*($E17)</f>
        <v>10.406007905138342</v>
      </c>
      <c r="K17" s="135">
        <f>('Data Entry'!$F$14*$F17)-(K$10/(('Data Entry'!$C$9/100)*2200))*($E17)</f>
        <v>9.417865612648223</v>
      </c>
      <c r="L17" s="135">
        <f>('Data Entry'!$F$14*$F17)-(L$10/(('Data Entry'!$C$9/100)*2200))*($E17)</f>
        <v>8.429723320158105</v>
      </c>
      <c r="M17" s="136">
        <f>('Data Entry'!$F$14*$F17)-(M$10/(('Data Entry'!$C$9/100)*2200))*($E17)</f>
        <v>7.441581027667986</v>
      </c>
    </row>
    <row r="18" spans="1:13" ht="15.75" thickBot="1">
      <c r="A18" s="16"/>
      <c r="B18" s="17"/>
      <c r="C18" s="18"/>
      <c r="D18" s="18"/>
      <c r="E18" s="193">
        <f>IF((E22-4*$C$10)&lt;0,0,(E22-4*$C$10))</f>
        <v>30</v>
      </c>
      <c r="F18" s="126">
        <f t="shared" si="0"/>
        <v>6.132</v>
      </c>
      <c r="G18" s="135">
        <f>('Data Entry'!$F$14*$F18)-(G$10/(('Data Entry'!$C$9/100)*2200))*($E18)</f>
        <v>14.35565217391304</v>
      </c>
      <c r="H18" s="135">
        <f>('Data Entry'!$F$14*$F18)-(H$10/(('Data Entry'!$C$9/100)*2200))*($E18)</f>
        <v>12.87343873517786</v>
      </c>
      <c r="I18" s="135">
        <f>('Data Entry'!$F$14*$F18)-(I$10/(('Data Entry'!$C$9/100)*2200))*($E18)</f>
        <v>11.391225296442684</v>
      </c>
      <c r="J18" s="135">
        <f>('Data Entry'!$F$14*$F18)-(J$10/(('Data Entry'!$C$9/100)*2200))*($E18)</f>
        <v>9.909011857707505</v>
      </c>
      <c r="K18" s="135">
        <f>('Data Entry'!$F$14*$F18)-(K$10/(('Data Entry'!$C$9/100)*2200))*($E18)</f>
        <v>8.426798418972329</v>
      </c>
      <c r="L18" s="135">
        <f>('Data Entry'!$F$14*$F18)-(L$10/(('Data Entry'!$C$9/100)*2200))*($E18)</f>
        <v>6.944584980237153</v>
      </c>
      <c r="M18" s="136">
        <f>('Data Entry'!$F$14*$F18)-(M$10/(('Data Entry'!$C$9/100)*2200))*($E18)</f>
        <v>5.462371541501973</v>
      </c>
    </row>
    <row r="19" spans="1:13" ht="15.75" thickBot="1">
      <c r="A19" s="16"/>
      <c r="B19" s="47"/>
      <c r="C19" s="48"/>
      <c r="D19" s="49" t="s">
        <v>13</v>
      </c>
      <c r="E19" s="50">
        <f>'Data Entry'!H9</f>
        <v>40</v>
      </c>
      <c r="F19" s="192">
        <f t="shared" si="0"/>
        <v>6.655999999999997</v>
      </c>
      <c r="G19" s="135">
        <f>('Data Entry'!$F$14*$F19)-(G$10/(('Data Entry'!$C$9/100)*2200))*($E19)</f>
        <v>11.540869565217378</v>
      </c>
      <c r="H19" s="135">
        <f>('Data Entry'!$F$14*$F19)-(H$10/(('Data Entry'!$C$9/100)*2200))*($E19)</f>
        <v>9.56458498023714</v>
      </c>
      <c r="I19" s="135">
        <f>('Data Entry'!$F$14*$F19)-(I$10/(('Data Entry'!$C$9/100)*2200))*($E19)</f>
        <v>7.588300395256905</v>
      </c>
      <c r="J19" s="135">
        <f>('Data Entry'!$F$14*$F19)-(J$10/(('Data Entry'!$C$9/100)*2200))*($E19)</f>
        <v>5.612015810276667</v>
      </c>
      <c r="K19" s="135">
        <f>('Data Entry'!$F$14*$F19)-(K$10/(('Data Entry'!$C$9/100)*2200))*($E19)</f>
        <v>3.6357312252964284</v>
      </c>
      <c r="L19" s="135">
        <f>('Data Entry'!$F$14*$F19)-(L$10/(('Data Entry'!$C$9/100)*2200))*($E19)</f>
        <v>1.6594466403161938</v>
      </c>
      <c r="M19" s="136">
        <f>('Data Entry'!$F$14*$F19)-(M$10/(('Data Entry'!$C$9/100)*2200))*($E19)</f>
        <v>-0.31683794466404436</v>
      </c>
    </row>
    <row r="20" spans="1:13" ht="15">
      <c r="A20" s="16"/>
      <c r="B20" s="17"/>
      <c r="C20" s="18"/>
      <c r="D20" s="18"/>
      <c r="E20" s="194">
        <f>E19+C10</f>
        <v>50</v>
      </c>
      <c r="F20" s="126">
        <f t="shared" si="0"/>
        <v>6.4200000000000035</v>
      </c>
      <c r="G20" s="135">
        <f>('Data Entry'!$F$14*$F20)-(G$10/(('Data Entry'!$C$9/100)*2200))*($E20)</f>
        <v>4.9260869565217575</v>
      </c>
      <c r="H20" s="135">
        <f>('Data Entry'!$F$14*$F20)-(H$10/(('Data Entry'!$C$9/100)*2200))*($E20)</f>
        <v>2.455731225296457</v>
      </c>
      <c r="I20" s="135">
        <f>('Data Entry'!$F$14*$F20)-(I$10/(('Data Entry'!$C$9/100)*2200))*($E20)</f>
        <v>-0.014624505928836129</v>
      </c>
      <c r="J20" s="135">
        <f>('Data Entry'!$F$14*$F20)-(J$10/(('Data Entry'!$C$9/100)*2200))*($E20)</f>
        <v>-2.484980237154133</v>
      </c>
      <c r="K20" s="135">
        <f>('Data Entry'!$F$14*$F20)-(K$10/(('Data Entry'!$C$9/100)*2200))*($E20)</f>
        <v>-4.955335968379437</v>
      </c>
      <c r="L20" s="135">
        <f>('Data Entry'!$F$14*$F20)-(L$10/(('Data Entry'!$C$9/100)*2200))*($E20)</f>
        <v>-7.425691699604727</v>
      </c>
      <c r="M20" s="136">
        <f>('Data Entry'!$F$14*$F20)-(M$10/(('Data Entry'!$C$9/100)*2200))*($E20)</f>
        <v>-9.896047430830023</v>
      </c>
    </row>
    <row r="21" spans="1:13" ht="15">
      <c r="A21" s="16"/>
      <c r="B21" s="17"/>
      <c r="C21" s="52"/>
      <c r="D21" s="18"/>
      <c r="E21" s="190">
        <f>E19+2*C10</f>
        <v>60</v>
      </c>
      <c r="F21" s="126">
        <f t="shared" si="0"/>
        <v>5.424000000000001</v>
      </c>
      <c r="G21" s="135">
        <f>('Data Entry'!$F$14*$F21)-(G$10/(('Data Entry'!$C$9/100)*2200))*($E21)</f>
        <v>-5.488695652173909</v>
      </c>
      <c r="H21" s="135">
        <f>('Data Entry'!$F$14*$F21)-(H$10/(('Data Entry'!$C$9/100)*2200))*($E21)</f>
        <v>-8.453122529644268</v>
      </c>
      <c r="I21" s="135">
        <f>('Data Entry'!$F$14*$F21)-(I$10/(('Data Entry'!$C$9/100)*2200))*($E21)</f>
        <v>-11.41754940711462</v>
      </c>
      <c r="J21" s="135">
        <f>('Data Entry'!$F$14*$F21)-(J$10/(('Data Entry'!$C$9/100)*2200))*($E21)</f>
        <v>-14.38197628458498</v>
      </c>
      <c r="K21" s="135">
        <f>('Data Entry'!$F$14*$F21)-(K$10/(('Data Entry'!$C$9/100)*2200))*($E21)</f>
        <v>-17.34640316205533</v>
      </c>
      <c r="L21" s="135">
        <f>('Data Entry'!$F$14*$F21)-(L$10/(('Data Entry'!$C$9/100)*2200))*($E21)</f>
        <v>-20.310830039525683</v>
      </c>
      <c r="M21" s="136">
        <f>('Data Entry'!$F$14*$F21)-(M$10/(('Data Entry'!$C$9/100)*2200))*($E21)</f>
        <v>-23.275256916996042</v>
      </c>
    </row>
    <row r="22" spans="1:13" ht="15">
      <c r="A22" s="16"/>
      <c r="B22" s="17"/>
      <c r="C22" s="18"/>
      <c r="D22" s="18"/>
      <c r="E22" s="190">
        <f>E19+3*C10</f>
        <v>70</v>
      </c>
      <c r="F22" s="126">
        <f t="shared" si="0"/>
        <v>3.668000000000001</v>
      </c>
      <c r="G22" s="135">
        <f>('Data Entry'!$F$14*$F22)-(G$10/(('Data Entry'!$C$9/100)*2200))*($E22)</f>
        <v>-19.70347826086956</v>
      </c>
      <c r="H22" s="135">
        <f>('Data Entry'!$F$14*$F22)-(H$10/(('Data Entry'!$C$9/100)*2200))*($E22)</f>
        <v>-23.16197628458498</v>
      </c>
      <c r="I22" s="135">
        <f>('Data Entry'!$F$14*$F22)-(I$10/(('Data Entry'!$C$9/100)*2200))*($E22)</f>
        <v>-26.620474308300388</v>
      </c>
      <c r="J22" s="135">
        <f>('Data Entry'!$F$14*$F22)-(J$10/(('Data Entry'!$C$9/100)*2200))*($E22)</f>
        <v>-30.07897233201581</v>
      </c>
      <c r="K22" s="135">
        <f>('Data Entry'!$F$14*$F22)-(K$10/(('Data Entry'!$C$9/100)*2200))*($E22)</f>
        <v>-33.53747035573122</v>
      </c>
      <c r="L22" s="135">
        <f>('Data Entry'!$F$14*$F22)-(L$10/(('Data Entry'!$C$9/100)*2200))*($E22)</f>
        <v>-36.99596837944664</v>
      </c>
      <c r="M22" s="136">
        <f>('Data Entry'!$F$14*$F22)-(M$10/(('Data Entry'!$C$9/100)*2200))*($E22)</f>
        <v>-40.45446640316205</v>
      </c>
    </row>
    <row r="23" spans="1:13" ht="15">
      <c r="A23" s="16"/>
      <c r="B23" s="17"/>
      <c r="C23" s="18"/>
      <c r="D23" s="18"/>
      <c r="E23" s="190">
        <f>E19+4*C10</f>
        <v>80</v>
      </c>
      <c r="F23" s="126">
        <f t="shared" si="0"/>
        <v>1.1520000000000028</v>
      </c>
      <c r="G23" s="135">
        <f>('Data Entry'!$F$14*$F23)-(G$10/(('Data Entry'!$C$9/100)*2200))*($E23)</f>
        <v>-37.718260869565206</v>
      </c>
      <c r="H23" s="135">
        <f>('Data Entry'!$F$14*$F23)-(H$10/(('Data Entry'!$C$9/100)*2200))*($E23)</f>
        <v>-41.67083003952568</v>
      </c>
      <c r="I23" s="135">
        <f>('Data Entry'!$F$14*$F23)-(I$10/(('Data Entry'!$C$9/100)*2200))*($E23)</f>
        <v>-45.62339920948615</v>
      </c>
      <c r="J23" s="135">
        <f>('Data Entry'!$F$14*$F23)-(J$10/(('Data Entry'!$C$9/100)*2200))*($E23)</f>
        <v>-49.57596837944663</v>
      </c>
      <c r="K23" s="135">
        <f>('Data Entry'!$F$14*$F23)-(K$10/(('Data Entry'!$C$9/100)*2200))*($E23)</f>
        <v>-53.528537549407105</v>
      </c>
      <c r="L23" s="135">
        <f>('Data Entry'!$F$14*$F23)-(L$10/(('Data Entry'!$C$9/100)*2200))*($E23)</f>
        <v>-57.481106719367574</v>
      </c>
      <c r="M23" s="136">
        <f>('Data Entry'!$F$14*$F23)-(M$10/(('Data Entry'!$C$9/100)*2200))*($E23)</f>
        <v>-61.43367588932805</v>
      </c>
    </row>
    <row r="24" spans="1:13" ht="13.5" customHeight="1">
      <c r="A24" s="16"/>
      <c r="B24" s="17"/>
      <c r="C24" s="18"/>
      <c r="D24" s="18"/>
      <c r="E24" s="263" t="s">
        <v>52</v>
      </c>
      <c r="F24" s="264"/>
      <c r="G24" s="277"/>
      <c r="H24" s="277"/>
      <c r="I24" s="277"/>
      <c r="J24" s="277"/>
      <c r="K24" s="277"/>
      <c r="L24" s="277"/>
      <c r="M24" s="278"/>
    </row>
    <row r="25" spans="1:13" ht="9.75" customHeight="1">
      <c r="A25" s="16"/>
      <c r="B25" s="17"/>
      <c r="C25" s="18"/>
      <c r="D25" s="18"/>
      <c r="E25" s="263" t="s">
        <v>16</v>
      </c>
      <c r="F25" s="264"/>
      <c r="G25" s="264"/>
      <c r="H25" s="264"/>
      <c r="I25" s="264"/>
      <c r="J25" s="264"/>
      <c r="K25" s="264"/>
      <c r="L25" s="264"/>
      <c r="M25" s="265"/>
    </row>
    <row r="26" spans="1:13" ht="9.75" customHeight="1">
      <c r="A26" s="16"/>
      <c r="B26" s="17"/>
      <c r="C26" s="18"/>
      <c r="D26" s="18"/>
      <c r="E26" s="263" t="s">
        <v>19</v>
      </c>
      <c r="F26" s="264"/>
      <c r="G26" s="264"/>
      <c r="H26" s="264"/>
      <c r="I26" s="264"/>
      <c r="J26" s="264"/>
      <c r="K26" s="264"/>
      <c r="L26" s="264"/>
      <c r="M26" s="265"/>
    </row>
    <row r="27" spans="1:19" ht="11.25" customHeight="1">
      <c r="A27" s="16"/>
      <c r="B27" s="17"/>
      <c r="C27" s="18"/>
      <c r="D27" s="18"/>
      <c r="E27" s="249" t="s">
        <v>85</v>
      </c>
      <c r="F27" s="284"/>
      <c r="G27" s="284"/>
      <c r="H27" s="284"/>
      <c r="I27" s="284"/>
      <c r="J27" s="284"/>
      <c r="K27" s="284"/>
      <c r="L27" s="284"/>
      <c r="M27" s="262"/>
      <c r="N27" s="130"/>
      <c r="O27"/>
      <c r="P27"/>
      <c r="Q27"/>
      <c r="R27"/>
      <c r="S27"/>
    </row>
    <row r="28" spans="1:13" ht="12" customHeight="1" thickBot="1">
      <c r="A28" s="16"/>
      <c r="B28" s="17"/>
      <c r="C28" s="18"/>
      <c r="D28" s="18"/>
      <c r="E28" s="269" t="s">
        <v>38</v>
      </c>
      <c r="F28" s="271"/>
      <c r="G28" s="271"/>
      <c r="H28" s="271"/>
      <c r="I28" s="271"/>
      <c r="J28" s="272"/>
      <c r="K28" s="272"/>
      <c r="L28" s="272"/>
      <c r="M28" s="273"/>
    </row>
    <row r="29" spans="1:13" ht="11.25" customHeight="1">
      <c r="A29" s="16"/>
      <c r="B29" s="17"/>
      <c r="C29" s="18"/>
      <c r="D29" s="18"/>
      <c r="E29" s="53"/>
      <c r="F29" s="53"/>
      <c r="G29" s="53"/>
      <c r="H29" s="53"/>
      <c r="I29" s="53"/>
      <c r="J29" s="12"/>
      <c r="K29" s="12"/>
      <c r="L29" s="12"/>
      <c r="M29" s="15"/>
    </row>
    <row r="30" spans="2:13" ht="11.25" customHeight="1" thickBot="1">
      <c r="B30" s="215"/>
      <c r="C30" s="216"/>
      <c r="D30" s="216"/>
      <c r="E30" s="216"/>
      <c r="F30" s="216"/>
      <c r="G30" s="216"/>
      <c r="H30" s="216"/>
      <c r="I30" s="216"/>
      <c r="J30" s="55"/>
      <c r="K30" s="55"/>
      <c r="L30" s="55"/>
      <c r="M30" s="56"/>
    </row>
  </sheetData>
  <sheetProtection password="CE5A" sheet="1" objects="1" scenarios="1"/>
  <mergeCells count="15">
    <mergeCell ref="B30:I30"/>
    <mergeCell ref="B2:M2"/>
    <mergeCell ref="B3:M3"/>
    <mergeCell ref="B7:C7"/>
    <mergeCell ref="H8:L8"/>
    <mergeCell ref="E25:M25"/>
    <mergeCell ref="E26:M26"/>
    <mergeCell ref="G12:M12"/>
    <mergeCell ref="G13:M13"/>
    <mergeCell ref="E24:M24"/>
    <mergeCell ref="E28:M28"/>
    <mergeCell ref="E27:M27"/>
    <mergeCell ref="D5:F5"/>
    <mergeCell ref="G5:J5"/>
    <mergeCell ref="K5:M5"/>
  </mergeCells>
  <conditionalFormatting sqref="I15:I23">
    <cfRule type="cellIs" priority="1" dxfId="0" operator="between" stopIfTrue="1">
      <formula>MAX($I$15:$I$23)-0.5</formula>
      <formula>MAX($I$15:$I$23)+0.5</formula>
    </cfRule>
    <cfRule type="cellIs" priority="2" dxfId="1" operator="between" stopIfTrue="1">
      <formula>MAX($I$15:$I$23)-0.5</formula>
      <formula>MAX($I$15:$I$23)-1.5</formula>
    </cfRule>
    <cfRule type="cellIs" priority="3" dxfId="1" operator="between" stopIfTrue="1">
      <formula>MAX($I$15:$I$23)+0.5</formula>
      <formula>MAX($I$15:$I$23)+1.5</formula>
    </cfRule>
  </conditionalFormatting>
  <conditionalFormatting sqref="J15:J23">
    <cfRule type="cellIs" priority="4" dxfId="0" operator="between" stopIfTrue="1">
      <formula>MAX($J$15:$J$23)-0.5</formula>
      <formula>MAX($J$15:$J$23)+0.5</formula>
    </cfRule>
    <cfRule type="cellIs" priority="5" dxfId="1" operator="between" stopIfTrue="1">
      <formula>MAX($J$15:$J$23)-0.5</formula>
      <formula>MAX($J$15:$J$23)-1.5</formula>
    </cfRule>
    <cfRule type="cellIs" priority="6" dxfId="1" operator="between" stopIfTrue="1">
      <formula>MAX($J$15:$J$23)+0.5</formula>
      <formula>MAX($J$15:$J$23)+1.5</formula>
    </cfRule>
  </conditionalFormatting>
  <conditionalFormatting sqref="K15:K23">
    <cfRule type="cellIs" priority="7" dxfId="0" operator="between" stopIfTrue="1">
      <formula>MAX($K$15:$K$23)-0.5</formula>
      <formula>MAX($K$15:$K$23)+0.5</formula>
    </cfRule>
    <cfRule type="cellIs" priority="8" dxfId="1" operator="between" stopIfTrue="1">
      <formula>MAX($K$15:$K$23)-0.5</formula>
      <formula>MAX($K$15:$K$23)-1.5</formula>
    </cfRule>
    <cfRule type="cellIs" priority="9" dxfId="1" operator="between" stopIfTrue="1">
      <formula>MAX($K$15:$K$23)+0.5</formula>
      <formula>MAX($K$15:$K$23)+1.5</formula>
    </cfRule>
  </conditionalFormatting>
  <conditionalFormatting sqref="G15:G23">
    <cfRule type="cellIs" priority="10" dxfId="0" operator="between" stopIfTrue="1">
      <formula>MAX($G$15:$G$23)-0.5</formula>
      <formula>MAX($G$15:$G$23)+0.5</formula>
    </cfRule>
    <cfRule type="cellIs" priority="11" dxfId="1" operator="between" stopIfTrue="1">
      <formula>MAX($G$15:$G$23)-0.5</formula>
      <formula>MAX($G$15:$G$23)-1.5</formula>
    </cfRule>
    <cfRule type="cellIs" priority="12" dxfId="1" operator="between" stopIfTrue="1">
      <formula>MAX($G$15:$G$23)+0.5</formula>
      <formula>MAX($G$15:$G$23)+1.5</formula>
    </cfRule>
  </conditionalFormatting>
  <conditionalFormatting sqref="H15:H23">
    <cfRule type="cellIs" priority="13" dxfId="0" operator="between" stopIfTrue="1">
      <formula>MAX($H$15:$H$23)-0.5</formula>
      <formula>MAX($H$15:$H$23)+0.5</formula>
    </cfRule>
    <cfRule type="cellIs" priority="14" dxfId="1" operator="between" stopIfTrue="1">
      <formula>MAX($H$15:$H$23)-0.5</formula>
      <formula>MAX($H$15:$H$23)-1.5</formula>
    </cfRule>
    <cfRule type="cellIs" priority="15" dxfId="1" operator="between" stopIfTrue="1">
      <formula>MAX($H$15:$H$23)+0.5</formula>
      <formula>MAX($H$15:$HG$23)+1.5</formula>
    </cfRule>
  </conditionalFormatting>
  <conditionalFormatting sqref="L15:L23">
    <cfRule type="cellIs" priority="16" dxfId="0" operator="between" stopIfTrue="1">
      <formula>MAX($L$15:$L$23)-0.5</formula>
      <formula>MAX($L$15:$L$23)+0.5</formula>
    </cfRule>
    <cfRule type="cellIs" priority="17" dxfId="1" operator="between" stopIfTrue="1">
      <formula>MAX($L$15:$L$23)-0.5</formula>
      <formula>MAX($L$15:$L$23)-1.5</formula>
    </cfRule>
    <cfRule type="cellIs" priority="18" dxfId="1" operator="between" stopIfTrue="1">
      <formula>MAX($L$15:$L$23)+0.5</formula>
      <formula>MAX($L$15:$L$23)+1.5</formula>
    </cfRule>
  </conditionalFormatting>
  <conditionalFormatting sqref="M15:M23">
    <cfRule type="cellIs" priority="19" dxfId="0" operator="between" stopIfTrue="1">
      <formula>MAX($M$15:$M$23)-0.5</formula>
      <formula>MAX($M$15:$M$23)+0.5</formula>
    </cfRule>
    <cfRule type="cellIs" priority="20" dxfId="1" operator="between" stopIfTrue="1">
      <formula>MAX($M$15:$M$23)-0.5</formula>
      <formula>MAX($M$15:$M$23)-1.5</formula>
    </cfRule>
    <cfRule type="cellIs" priority="21" dxfId="1" operator="between" stopIfTrue="1">
      <formula>MAX($M$15:$M$23)+0.5</formula>
      <formula>MAX($M$15:$M$23)+1.5</formula>
    </cfRule>
  </conditionalFormatting>
  <hyperlinks>
    <hyperlink ref="D5" location="'Wheat (Arid) Crop'!A1" display="Return to Wheat (Arid) as variable"/>
    <hyperlink ref="G5" location="'Wheat (Arid) MR'!A1" display="Go to Marginal Cost Chart"/>
    <hyperlink ref="K5" location="'Data Entry'!A1" display="Return to Data Entry"/>
  </hyperlinks>
  <printOptions/>
  <pageMargins left="0.75" right="0.75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30"/>
  <sheetViews>
    <sheetView showGridLines="0" workbookViewId="0" topLeftCell="A1">
      <selection activeCell="F16" sqref="F16"/>
    </sheetView>
  </sheetViews>
  <sheetFormatPr defaultColWidth="9.140625" defaultRowHeight="12.75"/>
  <cols>
    <col min="1" max="1" width="1.57421875" style="10" customWidth="1"/>
    <col min="2" max="2" width="17.28125" style="10" customWidth="1"/>
    <col min="3" max="5" width="9.140625" style="10" customWidth="1"/>
    <col min="6" max="6" width="13.8515625" style="10" customWidth="1"/>
    <col min="7" max="13" width="9.140625" style="10" customWidth="1"/>
    <col min="14" max="14" width="11.57421875" style="10" customWidth="1"/>
    <col min="15" max="16384" width="9.140625" style="10" customWidth="1"/>
  </cols>
  <sheetData>
    <row r="1" spans="2:9" ht="6" customHeight="1" thickBot="1">
      <c r="B1" s="11"/>
      <c r="C1" s="11"/>
      <c r="D1" s="11"/>
      <c r="E1" s="11"/>
      <c r="F1" s="11"/>
      <c r="G1" s="11"/>
      <c r="H1" s="11"/>
      <c r="I1" s="11"/>
    </row>
    <row r="2" spans="1:13" ht="20.25">
      <c r="A2" s="11"/>
      <c r="B2" s="254" t="s">
        <v>40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6"/>
    </row>
    <row r="3" spans="1:13" ht="20.25">
      <c r="A3" s="11"/>
      <c r="B3" s="257" t="s">
        <v>47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9"/>
    </row>
    <row r="4" spans="1:14" ht="6.75" customHeight="1">
      <c r="A4" s="11"/>
      <c r="B4" s="13"/>
      <c r="C4" s="14"/>
      <c r="D4" s="14"/>
      <c r="E4" s="14"/>
      <c r="F4" s="14"/>
      <c r="G4" s="14"/>
      <c r="H4" s="14"/>
      <c r="I4" s="14"/>
      <c r="J4" s="12"/>
      <c r="K4" s="12"/>
      <c r="L4" s="12"/>
      <c r="M4" s="15"/>
      <c r="N4" s="158"/>
    </row>
    <row r="5" spans="2:13" ht="12.75">
      <c r="B5" s="198"/>
      <c r="C5" s="199"/>
      <c r="D5" s="279" t="s">
        <v>82</v>
      </c>
      <c r="E5" s="280"/>
      <c r="F5" s="280"/>
      <c r="G5" s="279" t="s">
        <v>69</v>
      </c>
      <c r="H5" s="280"/>
      <c r="I5" s="280"/>
      <c r="J5" s="280"/>
      <c r="K5" s="261" t="s">
        <v>96</v>
      </c>
      <c r="L5" s="260"/>
      <c r="M5" s="262"/>
    </row>
    <row r="6" spans="1:14" ht="4.5" customHeight="1">
      <c r="A6" s="16"/>
      <c r="B6" s="17"/>
      <c r="C6" s="18"/>
      <c r="D6" s="18"/>
      <c r="E6" s="18"/>
      <c r="F6" s="18"/>
      <c r="G6" s="18"/>
      <c r="H6" s="18"/>
      <c r="I6" s="18"/>
      <c r="J6" s="12"/>
      <c r="K6" s="12"/>
      <c r="L6" s="12"/>
      <c r="M6" s="15"/>
      <c r="N6" s="158"/>
    </row>
    <row r="7" spans="1:13" ht="15.75" customHeight="1" thickBot="1">
      <c r="A7" s="16"/>
      <c r="B7" s="285" t="s">
        <v>61</v>
      </c>
      <c r="C7" s="286"/>
      <c r="D7" s="18"/>
      <c r="E7" s="18"/>
      <c r="F7" s="18"/>
      <c r="G7" s="18"/>
      <c r="H7" s="19"/>
      <c r="I7" s="18"/>
      <c r="J7" s="19"/>
      <c r="K7" s="12"/>
      <c r="L7" s="12"/>
      <c r="M7" s="15"/>
    </row>
    <row r="8" spans="1:13" ht="15" customHeight="1">
      <c r="A8" s="16"/>
      <c r="B8" s="87" t="s">
        <v>58</v>
      </c>
      <c r="C8" s="21" t="s">
        <v>62</v>
      </c>
      <c r="D8" s="18"/>
      <c r="E8" s="22"/>
      <c r="F8" s="23"/>
      <c r="G8" s="23"/>
      <c r="H8" s="236" t="s">
        <v>63</v>
      </c>
      <c r="I8" s="237"/>
      <c r="J8" s="237"/>
      <c r="K8" s="237"/>
      <c r="L8" s="237"/>
      <c r="M8" s="24"/>
    </row>
    <row r="9" spans="1:13" ht="15">
      <c r="A9" s="16"/>
      <c r="B9" s="20" t="s">
        <v>60</v>
      </c>
      <c r="C9" s="83">
        <f>'Data Entry'!F15</f>
        <v>2.5</v>
      </c>
      <c r="D9" s="18"/>
      <c r="E9" s="17"/>
      <c r="F9" s="18"/>
      <c r="G9" s="18"/>
      <c r="H9" s="19"/>
      <c r="I9" s="18"/>
      <c r="J9" s="19"/>
      <c r="K9" s="12"/>
      <c r="L9" s="12"/>
      <c r="M9" s="15"/>
    </row>
    <row r="10" spans="1:13" ht="15">
      <c r="A10" s="16"/>
      <c r="B10" s="30" t="s">
        <v>20</v>
      </c>
      <c r="C10" s="106">
        <f>'Data Entry'!C11</f>
        <v>10</v>
      </c>
      <c r="D10" s="18"/>
      <c r="E10" s="17"/>
      <c r="F10" s="18"/>
      <c r="G10" s="108">
        <f>H10-$C$12</f>
        <v>550</v>
      </c>
      <c r="H10" s="108">
        <f>I10-$C$12</f>
        <v>600</v>
      </c>
      <c r="I10" s="108">
        <f>J10-$C$12</f>
        <v>650</v>
      </c>
      <c r="J10" s="109">
        <f>'Data Entry'!C8</f>
        <v>700</v>
      </c>
      <c r="K10" s="108">
        <f>J10+$C$12</f>
        <v>750</v>
      </c>
      <c r="L10" s="108">
        <f>K10+$C$12</f>
        <v>800</v>
      </c>
      <c r="M10" s="110">
        <f>L10+$C$12</f>
        <v>850</v>
      </c>
    </row>
    <row r="11" spans="1:13" ht="15">
      <c r="A11" s="16"/>
      <c r="B11" s="33" t="s">
        <v>106</v>
      </c>
      <c r="C11" s="46"/>
      <c r="D11" s="18"/>
      <c r="E11" s="17"/>
      <c r="F11" s="29" t="s">
        <v>6</v>
      </c>
      <c r="G11" s="18"/>
      <c r="H11" s="18"/>
      <c r="I11" s="18"/>
      <c r="J11" s="12"/>
      <c r="K11" s="12"/>
      <c r="L11" s="12"/>
      <c r="M11" s="15"/>
    </row>
    <row r="12" spans="1:13" ht="15">
      <c r="A12" s="16"/>
      <c r="B12" s="37" t="s">
        <v>56</v>
      </c>
      <c r="C12" s="61">
        <f>'Data Entry'!C17</f>
        <v>50</v>
      </c>
      <c r="D12" s="18"/>
      <c r="E12" s="32"/>
      <c r="F12" s="29" t="s">
        <v>7</v>
      </c>
      <c r="G12" s="274" t="s">
        <v>8</v>
      </c>
      <c r="H12" s="274"/>
      <c r="I12" s="274"/>
      <c r="J12" s="274"/>
      <c r="K12" s="274"/>
      <c r="L12" s="274"/>
      <c r="M12" s="275"/>
    </row>
    <row r="13" spans="1:13" ht="15.75" thickBot="1">
      <c r="A13" s="16"/>
      <c r="B13" s="43" t="s">
        <v>28</v>
      </c>
      <c r="C13" s="46"/>
      <c r="D13" s="18"/>
      <c r="E13" s="35" t="s">
        <v>9</v>
      </c>
      <c r="F13" s="36" t="s">
        <v>10</v>
      </c>
      <c r="G13" s="219" t="s">
        <v>23</v>
      </c>
      <c r="H13" s="219"/>
      <c r="I13" s="219"/>
      <c r="J13" s="219"/>
      <c r="K13" s="219"/>
      <c r="L13" s="219"/>
      <c r="M13" s="212"/>
    </row>
    <row r="14" spans="1:13" ht="15">
      <c r="A14" s="16"/>
      <c r="B14" s="113" t="s">
        <v>29</v>
      </c>
      <c r="C14" s="107">
        <f>'Data Entry'!C15</f>
        <v>30</v>
      </c>
      <c r="D14" s="18"/>
      <c r="E14" s="39" t="s">
        <v>11</v>
      </c>
      <c r="F14" s="40" t="s">
        <v>12</v>
      </c>
      <c r="G14" s="111">
        <f>'Data Entry'!$F$15/(G$10/(('Data Entry'!$C$9/100)*2200))</f>
        <v>4.6000000000000005</v>
      </c>
      <c r="H14" s="111">
        <f>'Data Entry'!$F$15/(H$10/(('Data Entry'!$C$9/100)*2200))</f>
        <v>4.216666666666667</v>
      </c>
      <c r="I14" s="111">
        <f>'Data Entry'!$F$15/(I$10/(('Data Entry'!$C$9/100)*2200))</f>
        <v>3.8923076923076927</v>
      </c>
      <c r="J14" s="111">
        <f>'Data Entry'!$F$15/(J$10/(('Data Entry'!$C$9/100)*2200))</f>
        <v>3.6142857142857143</v>
      </c>
      <c r="K14" s="111">
        <f>'Data Entry'!$F$15/(K$10/(('Data Entry'!$C$9/100)*2200))</f>
        <v>3.373333333333333</v>
      </c>
      <c r="L14" s="111">
        <f>'Data Entry'!$F$15/(L$10/(('Data Entry'!$C$9/100)*2200))</f>
        <v>3.1625</v>
      </c>
      <c r="M14" s="112">
        <f>'Data Entry'!$F$15/(M$10/(('Data Entry'!$C$9/100)*2200))</f>
        <v>2.976470588235294</v>
      </c>
    </row>
    <row r="15" spans="1:13" ht="15">
      <c r="A15" s="16"/>
      <c r="B15" s="43" t="s">
        <v>30</v>
      </c>
      <c r="C15" s="46"/>
      <c r="D15" s="18"/>
      <c r="E15" s="190">
        <f>IF((E19-4*$C$10)&lt;0,0,(E19-4*$C$10))</f>
        <v>50</v>
      </c>
      <c r="F15" s="126">
        <f aca="true" t="shared" si="0" ref="F15:F23">IF(((-0.0037*(E15+$C$14)^2+1.152*(E15+$C$14))-(-0.0037*($C$14)^2+1.152*($C$14)))&lt;0,0,((-0.0037*(E15+$C$14)^2+1.152*(E15+$C$14))-(-0.0037*($C$14)^2+1.152*($C$14))))</f>
        <v>37.24999999999999</v>
      </c>
      <c r="G15" s="135">
        <f>('Data Entry'!$F$15*$F15)-(G$10/(('Data Entry'!$C$9/100)*2200))*($E15)</f>
        <v>65.95108695652172</v>
      </c>
      <c r="H15" s="135">
        <f>('Data Entry'!$F$15*$F15)-(H$10/(('Data Entry'!$C$9/100)*2200))*($E15)</f>
        <v>63.480731225296424</v>
      </c>
      <c r="I15" s="135">
        <f>('Data Entry'!$F$15*$F15)-(I$10/(('Data Entry'!$C$9/100)*2200))*($E15)</f>
        <v>61.010375494071134</v>
      </c>
      <c r="J15" s="135">
        <f>('Data Entry'!$F$15*$F15)-(J$10/(('Data Entry'!$C$9/100)*2200))*($E15)</f>
        <v>58.54001976284584</v>
      </c>
      <c r="K15" s="135">
        <f>('Data Entry'!$F$15*$F15)-(K$10/(('Data Entry'!$C$9/100)*2200))*($E15)</f>
        <v>56.06966403162053</v>
      </c>
      <c r="L15" s="135">
        <f>('Data Entry'!$F$15*$F15)-(L$10/(('Data Entry'!$C$9/100)*2200))*($E15)</f>
        <v>53.59930830039524</v>
      </c>
      <c r="M15" s="136">
        <f>('Data Entry'!$F$15*$F15)-(M$10/(('Data Entry'!$C$9/100)*2200))*($E15)</f>
        <v>51.12895256916995</v>
      </c>
    </row>
    <row r="16" spans="1:13" ht="15">
      <c r="A16" s="16"/>
      <c r="B16" s="54"/>
      <c r="D16" s="18"/>
      <c r="E16" s="190">
        <f>IF((E20-4*$C$10)&lt;0,0,(E20-4*$C$10))</f>
        <v>60</v>
      </c>
      <c r="F16" s="126">
        <f t="shared" si="0"/>
        <v>42.48</v>
      </c>
      <c r="G16" s="135">
        <f>('Data Entry'!$F$15*$F16)-(G$10/(('Data Entry'!$C$9/100)*2200))*($E16)</f>
        <v>73.59130434782608</v>
      </c>
      <c r="H16" s="135">
        <f>('Data Entry'!$F$15*$F16)-(H$10/(('Data Entry'!$C$9/100)*2200))*($E16)</f>
        <v>70.62687747035571</v>
      </c>
      <c r="I16" s="135">
        <f>('Data Entry'!$F$15*$F16)-(I$10/(('Data Entry'!$C$9/100)*2200))*($E16)</f>
        <v>67.66245059288536</v>
      </c>
      <c r="J16" s="135">
        <f>('Data Entry'!$F$15*$F16)-(J$10/(('Data Entry'!$C$9/100)*2200))*($E16)</f>
        <v>64.698023715415</v>
      </c>
      <c r="K16" s="135">
        <f>('Data Entry'!$F$15*$F16)-(K$10/(('Data Entry'!$C$9/100)*2200))*($E16)</f>
        <v>61.73359683794465</v>
      </c>
      <c r="L16" s="135">
        <f>('Data Entry'!$F$15*$F16)-(L$10/(('Data Entry'!$C$9/100)*2200))*($E16)</f>
        <v>58.7691699604743</v>
      </c>
      <c r="M16" s="136">
        <f>('Data Entry'!$F$15*$F16)-(M$10/(('Data Entry'!$C$9/100)*2200))*($E16)</f>
        <v>55.80474308300394</v>
      </c>
    </row>
    <row r="17" spans="1:13" ht="15">
      <c r="A17" s="16"/>
      <c r="B17" s="54"/>
      <c r="D17" s="18"/>
      <c r="E17" s="190">
        <f>IF((E21-4*$C$10)&lt;0,0,(E21-4*$C$10))</f>
        <v>70</v>
      </c>
      <c r="F17" s="126">
        <f t="shared" si="0"/>
        <v>46.96999999999999</v>
      </c>
      <c r="G17" s="135">
        <f>('Data Entry'!$F$15*$F17)-(G$10/(('Data Entry'!$C$9/100)*2200))*($E17)</f>
        <v>79.38152173913042</v>
      </c>
      <c r="H17" s="135">
        <f>('Data Entry'!$F$15*$F17)-(H$10/(('Data Entry'!$C$9/100)*2200))*($E17)</f>
        <v>75.923023715415</v>
      </c>
      <c r="I17" s="135">
        <f>('Data Entry'!$F$15*$F17)-(I$10/(('Data Entry'!$C$9/100)*2200))*($E17)</f>
        <v>72.46452569169959</v>
      </c>
      <c r="J17" s="135">
        <f>('Data Entry'!$F$15*$F17)-(J$10/(('Data Entry'!$C$9/100)*2200))*($E17)</f>
        <v>69.00602766798417</v>
      </c>
      <c r="K17" s="135">
        <f>('Data Entry'!$F$15*$F17)-(K$10/(('Data Entry'!$C$9/100)*2200))*($E17)</f>
        <v>65.54752964426876</v>
      </c>
      <c r="L17" s="135">
        <f>('Data Entry'!$F$15*$F17)-(L$10/(('Data Entry'!$C$9/100)*2200))*($E17)</f>
        <v>62.08903162055334</v>
      </c>
      <c r="M17" s="136">
        <f>('Data Entry'!$F$15*$F17)-(M$10/(('Data Entry'!$C$9/100)*2200))*($E17)</f>
        <v>58.63053359683793</v>
      </c>
    </row>
    <row r="18" spans="1:13" ht="15.75" thickBot="1">
      <c r="A18" s="16"/>
      <c r="B18" s="17"/>
      <c r="C18" s="18"/>
      <c r="D18" s="18"/>
      <c r="E18" s="193">
        <f>IF((E22-4*$C$10)&lt;0,0,(E22-4*$C$10))</f>
        <v>80</v>
      </c>
      <c r="F18" s="126">
        <f t="shared" si="0"/>
        <v>50.71999999999999</v>
      </c>
      <c r="G18" s="135">
        <f>('Data Entry'!$F$15*$F18)-(G$10/(('Data Entry'!$C$9/100)*2200))*($E18)</f>
        <v>83.32173913043476</v>
      </c>
      <c r="H18" s="135">
        <f>('Data Entry'!$F$15*$F18)-(H$10/(('Data Entry'!$C$9/100)*2200))*($E18)</f>
        <v>79.3691699604743</v>
      </c>
      <c r="I18" s="135">
        <f>('Data Entry'!$F$15*$F18)-(I$10/(('Data Entry'!$C$9/100)*2200))*($E18)</f>
        <v>75.41660079051383</v>
      </c>
      <c r="J18" s="135">
        <f>('Data Entry'!$F$15*$F18)-(J$10/(('Data Entry'!$C$9/100)*2200))*($E18)</f>
        <v>71.46403162055334</v>
      </c>
      <c r="K18" s="135">
        <f>('Data Entry'!$F$15*$F18)-(K$10/(('Data Entry'!$C$9/100)*2200))*($E18)</f>
        <v>67.51146245059286</v>
      </c>
      <c r="L18" s="135">
        <f>('Data Entry'!$F$15*$F18)-(L$10/(('Data Entry'!$C$9/100)*2200))*($E18)</f>
        <v>63.5588932806324</v>
      </c>
      <c r="M18" s="136">
        <f>('Data Entry'!$F$15*$F18)-(M$10/(('Data Entry'!$C$9/100)*2200))*($E18)</f>
        <v>59.60632411067192</v>
      </c>
    </row>
    <row r="19" spans="1:13" ht="15.75" thickBot="1">
      <c r="A19" s="16"/>
      <c r="B19" s="54"/>
      <c r="C19" s="48"/>
      <c r="D19" s="49" t="s">
        <v>13</v>
      </c>
      <c r="E19" s="50">
        <f>'Data Entry'!F10</f>
        <v>90</v>
      </c>
      <c r="F19" s="192">
        <f t="shared" si="0"/>
        <v>53.72999999999998</v>
      </c>
      <c r="G19" s="135">
        <f>('Data Entry'!$F$15*$F19)-(G$10/(('Data Entry'!$C$9/100)*2200))*($E19)</f>
        <v>85.41195652173909</v>
      </c>
      <c r="H19" s="135">
        <f>('Data Entry'!$F$15*$F19)-(H$10/(('Data Entry'!$C$9/100)*2200))*($E19)</f>
        <v>80.96531620553355</v>
      </c>
      <c r="I19" s="135">
        <f>('Data Entry'!$F$15*$F19)-(I$10/(('Data Entry'!$C$9/100)*2200))*($E19)</f>
        <v>76.51867588932802</v>
      </c>
      <c r="J19" s="135">
        <f>('Data Entry'!$F$15*$F19)-(J$10/(('Data Entry'!$C$9/100)*2200))*($E19)</f>
        <v>72.07203557312249</v>
      </c>
      <c r="K19" s="135">
        <f>('Data Entry'!$F$15*$F19)-(K$10/(('Data Entry'!$C$9/100)*2200))*($E19)</f>
        <v>67.62539525691695</v>
      </c>
      <c r="L19" s="135">
        <f>('Data Entry'!$F$15*$F19)-(L$10/(('Data Entry'!$C$9/100)*2200))*($E19)</f>
        <v>63.17875494071143</v>
      </c>
      <c r="M19" s="136">
        <f>('Data Entry'!$F$15*$F19)-(M$10/(('Data Entry'!$C$9/100)*2200))*($E19)</f>
        <v>58.73211462450588</v>
      </c>
    </row>
    <row r="20" spans="1:13" ht="15">
      <c r="A20" s="16"/>
      <c r="B20" s="17"/>
      <c r="C20" s="18"/>
      <c r="D20" s="18"/>
      <c r="E20" s="194">
        <f>E19+C10</f>
        <v>100</v>
      </c>
      <c r="F20" s="126">
        <f t="shared" si="0"/>
        <v>55.99999999999999</v>
      </c>
      <c r="G20" s="135">
        <f>('Data Entry'!$F$15*$F20)-(G$10/(('Data Entry'!$C$9/100)*2200))*($E20)</f>
        <v>85.65217391304346</v>
      </c>
      <c r="H20" s="135">
        <f>('Data Entry'!$F$15*$F20)-(H$10/(('Data Entry'!$C$9/100)*2200))*($E20)</f>
        <v>80.71146245059285</v>
      </c>
      <c r="I20" s="135">
        <f>('Data Entry'!$F$15*$F20)-(I$10/(('Data Entry'!$C$9/100)*2200))*($E20)</f>
        <v>75.77075098814227</v>
      </c>
      <c r="J20" s="135">
        <f>('Data Entry'!$F$15*$F20)-(J$10/(('Data Entry'!$C$9/100)*2200))*($E20)</f>
        <v>70.83003952569167</v>
      </c>
      <c r="K20" s="135">
        <f>('Data Entry'!$F$15*$F20)-(K$10/(('Data Entry'!$C$9/100)*2200))*($E20)</f>
        <v>65.88932806324107</v>
      </c>
      <c r="L20" s="135">
        <f>('Data Entry'!$F$15*$F20)-(L$10/(('Data Entry'!$C$9/100)*2200))*($E20)</f>
        <v>60.94861660079049</v>
      </c>
      <c r="M20" s="136">
        <f>('Data Entry'!$F$15*$F20)-(M$10/(('Data Entry'!$C$9/100)*2200))*($E20)</f>
        <v>56.00790513833989</v>
      </c>
    </row>
    <row r="21" spans="1:13" ht="15">
      <c r="A21" s="16"/>
      <c r="B21" s="17"/>
      <c r="C21" s="18"/>
      <c r="D21" s="18"/>
      <c r="E21" s="190">
        <f>E19+2*C10</f>
        <v>110</v>
      </c>
      <c r="F21" s="126">
        <f t="shared" si="0"/>
        <v>57.529999999999994</v>
      </c>
      <c r="G21" s="135">
        <f>('Data Entry'!$F$15*$F21)-(G$10/(('Data Entry'!$C$9/100)*2200))*($E21)</f>
        <v>84.04239130434782</v>
      </c>
      <c r="H21" s="135">
        <f>('Data Entry'!$F$15*$F21)-(H$10/(('Data Entry'!$C$9/100)*2200))*($E21)</f>
        <v>78.60760869565216</v>
      </c>
      <c r="I21" s="135">
        <f>('Data Entry'!$F$15*$F21)-(I$10/(('Data Entry'!$C$9/100)*2200))*($E21)</f>
        <v>73.17282608695652</v>
      </c>
      <c r="J21" s="135">
        <f>('Data Entry'!$F$15*$F21)-(J$10/(('Data Entry'!$C$9/100)*2200))*($E21)</f>
        <v>67.73804347826086</v>
      </c>
      <c r="K21" s="135">
        <f>('Data Entry'!$F$15*$F21)-(K$10/(('Data Entry'!$C$9/100)*2200))*($E21)</f>
        <v>62.30326086956521</v>
      </c>
      <c r="L21" s="135">
        <f>('Data Entry'!$F$15*$F21)-(L$10/(('Data Entry'!$C$9/100)*2200))*($E21)</f>
        <v>56.86847826086955</v>
      </c>
      <c r="M21" s="136">
        <f>('Data Entry'!$F$15*$F21)-(M$10/(('Data Entry'!$C$9/100)*2200))*($E21)</f>
        <v>51.433695652173895</v>
      </c>
    </row>
    <row r="22" spans="1:13" ht="15">
      <c r="A22" s="16"/>
      <c r="B22" s="17"/>
      <c r="C22" s="18"/>
      <c r="D22" s="18"/>
      <c r="E22" s="190">
        <f>E19+3*C10</f>
        <v>120</v>
      </c>
      <c r="F22" s="126">
        <f t="shared" si="0"/>
        <v>58.319999999999986</v>
      </c>
      <c r="G22" s="135">
        <f>('Data Entry'!$F$15*$F22)-(G$10/(('Data Entry'!$C$9/100)*2200))*($E22)</f>
        <v>80.58260869565213</v>
      </c>
      <c r="H22" s="135">
        <f>('Data Entry'!$F$15*$F22)-(H$10/(('Data Entry'!$C$9/100)*2200))*($E22)</f>
        <v>74.65375494071141</v>
      </c>
      <c r="I22" s="135">
        <f>('Data Entry'!$F$15*$F22)-(I$10/(('Data Entry'!$C$9/100)*2200))*($E22)</f>
        <v>68.7249011857707</v>
      </c>
      <c r="J22" s="135">
        <f>('Data Entry'!$F$15*$F22)-(J$10/(('Data Entry'!$C$9/100)*2200))*($E22)</f>
        <v>62.79604743082999</v>
      </c>
      <c r="K22" s="135">
        <f>('Data Entry'!$F$15*$F22)-(K$10/(('Data Entry'!$C$9/100)*2200))*($E22)</f>
        <v>56.86719367588928</v>
      </c>
      <c r="L22" s="135">
        <f>('Data Entry'!$F$15*$F22)-(L$10/(('Data Entry'!$C$9/100)*2200))*($E22)</f>
        <v>50.93833992094858</v>
      </c>
      <c r="M22" s="136">
        <f>('Data Entry'!$F$15*$F22)-(M$10/(('Data Entry'!$C$9/100)*2200))*($E22)</f>
        <v>45.00948616600786</v>
      </c>
    </row>
    <row r="23" spans="1:13" ht="15">
      <c r="A23" s="16"/>
      <c r="B23" s="17"/>
      <c r="C23" s="18"/>
      <c r="D23" s="18"/>
      <c r="E23" s="190">
        <f>E19+4*C10</f>
        <v>130</v>
      </c>
      <c r="F23" s="126">
        <f t="shared" si="0"/>
        <v>58.37</v>
      </c>
      <c r="G23" s="135">
        <f>('Data Entry'!$F$15*$F23)-(G$10/(('Data Entry'!$C$9/100)*2200))*($E23)</f>
        <v>75.27282608695651</v>
      </c>
      <c r="H23" s="135">
        <f>('Data Entry'!$F$15*$F23)-(H$10/(('Data Entry'!$C$9/100)*2200))*($E23)</f>
        <v>68.84990118577073</v>
      </c>
      <c r="I23" s="135">
        <f>('Data Entry'!$F$15*$F23)-(I$10/(('Data Entry'!$C$9/100)*2200))*($E23)</f>
        <v>62.42697628458497</v>
      </c>
      <c r="J23" s="135">
        <f>('Data Entry'!$F$15*$F23)-(J$10/(('Data Entry'!$C$9/100)*2200))*($E23)</f>
        <v>56.00405138339919</v>
      </c>
      <c r="K23" s="135">
        <f>('Data Entry'!$F$15*$F23)-(K$10/(('Data Entry'!$C$9/100)*2200))*($E23)</f>
        <v>49.58112648221342</v>
      </c>
      <c r="L23" s="135">
        <f>('Data Entry'!$F$15*$F23)-(L$10/(('Data Entry'!$C$9/100)*2200))*($E23)</f>
        <v>43.158201581027654</v>
      </c>
      <c r="M23" s="136">
        <f>('Data Entry'!$F$15*$F23)-(M$10/(('Data Entry'!$C$9/100)*2200))*($E23)</f>
        <v>36.735276679841874</v>
      </c>
    </row>
    <row r="24" spans="1:13" ht="13.5" customHeight="1">
      <c r="A24" s="16"/>
      <c r="B24" s="17"/>
      <c r="C24" s="18"/>
      <c r="D24" s="18"/>
      <c r="E24" s="263" t="s">
        <v>53</v>
      </c>
      <c r="F24" s="264"/>
      <c r="G24" s="277"/>
      <c r="H24" s="277"/>
      <c r="I24" s="277"/>
      <c r="J24" s="277"/>
      <c r="K24" s="277"/>
      <c r="L24" s="277"/>
      <c r="M24" s="278"/>
    </row>
    <row r="25" spans="1:13" ht="9.75" customHeight="1">
      <c r="A25" s="16"/>
      <c r="B25" s="17"/>
      <c r="C25" s="18"/>
      <c r="D25" s="18"/>
      <c r="E25" s="263" t="s">
        <v>16</v>
      </c>
      <c r="F25" s="264"/>
      <c r="G25" s="264"/>
      <c r="H25" s="264"/>
      <c r="I25" s="264"/>
      <c r="J25" s="264"/>
      <c r="K25" s="264"/>
      <c r="L25" s="264"/>
      <c r="M25" s="265"/>
    </row>
    <row r="26" spans="1:13" ht="9.75" customHeight="1">
      <c r="A26" s="16"/>
      <c r="B26" s="17"/>
      <c r="C26" s="18"/>
      <c r="D26" s="18"/>
      <c r="E26" s="263" t="s">
        <v>24</v>
      </c>
      <c r="F26" s="264"/>
      <c r="G26" s="264"/>
      <c r="H26" s="264"/>
      <c r="I26" s="264"/>
      <c r="J26" s="264"/>
      <c r="K26" s="264"/>
      <c r="L26" s="264"/>
      <c r="M26" s="265"/>
    </row>
    <row r="27" spans="1:19" ht="11.25" customHeight="1">
      <c r="A27" s="16"/>
      <c r="B27" s="17"/>
      <c r="C27" s="18"/>
      <c r="D27" s="18"/>
      <c r="E27" s="249" t="s">
        <v>87</v>
      </c>
      <c r="F27" s="284"/>
      <c r="G27" s="284"/>
      <c r="H27" s="284"/>
      <c r="I27" s="284"/>
      <c r="J27" s="284"/>
      <c r="K27" s="284"/>
      <c r="L27" s="284"/>
      <c r="M27" s="262"/>
      <c r="N27" s="130"/>
      <c r="O27"/>
      <c r="P27"/>
      <c r="Q27"/>
      <c r="R27"/>
      <c r="S27"/>
    </row>
    <row r="28" spans="1:13" ht="12" customHeight="1" thickBot="1">
      <c r="A28" s="16"/>
      <c r="B28" s="17"/>
      <c r="C28" s="18"/>
      <c r="D28" s="18"/>
      <c r="E28" s="269" t="s">
        <v>38</v>
      </c>
      <c r="F28" s="271"/>
      <c r="G28" s="271"/>
      <c r="H28" s="271"/>
      <c r="I28" s="271"/>
      <c r="J28" s="272"/>
      <c r="K28" s="272"/>
      <c r="L28" s="272"/>
      <c r="M28" s="273"/>
    </row>
    <row r="29" spans="1:13" ht="11.25" customHeight="1">
      <c r="A29" s="16"/>
      <c r="B29" s="17"/>
      <c r="C29" s="18"/>
      <c r="D29" s="18"/>
      <c r="E29" s="53"/>
      <c r="F29" s="53"/>
      <c r="G29" s="53"/>
      <c r="H29" s="53"/>
      <c r="I29" s="53"/>
      <c r="J29" s="12"/>
      <c r="K29" s="12"/>
      <c r="L29" s="12"/>
      <c r="M29" s="15"/>
    </row>
    <row r="30" spans="2:13" ht="11.25" customHeight="1" thickBot="1">
      <c r="B30" s="215"/>
      <c r="C30" s="216"/>
      <c r="D30" s="216"/>
      <c r="E30" s="216"/>
      <c r="F30" s="216"/>
      <c r="G30" s="216"/>
      <c r="H30" s="216"/>
      <c r="I30" s="216"/>
      <c r="J30" s="55"/>
      <c r="K30" s="55"/>
      <c r="L30" s="55"/>
      <c r="M30" s="56"/>
    </row>
  </sheetData>
  <sheetProtection password="CE5A" sheet="1" objects="1" scenarios="1"/>
  <mergeCells count="15">
    <mergeCell ref="E24:M24"/>
    <mergeCell ref="E27:M27"/>
    <mergeCell ref="E28:M28"/>
    <mergeCell ref="B30:I30"/>
    <mergeCell ref="E25:M25"/>
    <mergeCell ref="E26:M26"/>
    <mergeCell ref="H8:L8"/>
    <mergeCell ref="G12:M12"/>
    <mergeCell ref="G13:M13"/>
    <mergeCell ref="B2:M2"/>
    <mergeCell ref="B3:M3"/>
    <mergeCell ref="B7:C7"/>
    <mergeCell ref="D5:F5"/>
    <mergeCell ref="G5:J5"/>
    <mergeCell ref="K5:M5"/>
  </mergeCells>
  <conditionalFormatting sqref="I15:I23">
    <cfRule type="cellIs" priority="1" dxfId="0" operator="between" stopIfTrue="1">
      <formula>MAX($I$15:$I$23)-0.5</formula>
      <formula>MAX($I$15:$I$23)+0.5</formula>
    </cfRule>
    <cfRule type="cellIs" priority="2" dxfId="1" operator="between" stopIfTrue="1">
      <formula>MAX($I$15:$I$23)-0.5</formula>
      <formula>MAX($I$15:$I$23)-1.5</formula>
    </cfRule>
    <cfRule type="cellIs" priority="3" dxfId="1" operator="between" stopIfTrue="1">
      <formula>MAX($I$15:$I$23)+0.5</formula>
      <formula>MAX($I$15:$I$23)+1.5</formula>
    </cfRule>
  </conditionalFormatting>
  <conditionalFormatting sqref="J15:J23">
    <cfRule type="cellIs" priority="4" dxfId="0" operator="between" stopIfTrue="1">
      <formula>MAX($J$15:$J$23)-0.5</formula>
      <formula>MAX($J$15:$J$23)+0.5</formula>
    </cfRule>
    <cfRule type="cellIs" priority="5" dxfId="1" operator="between" stopIfTrue="1">
      <formula>MAX($J$15:$J$23)-0.5</formula>
      <formula>MAX($J$15:$J$23)-1.5</formula>
    </cfRule>
    <cfRule type="cellIs" priority="6" dxfId="1" operator="between" stopIfTrue="1">
      <formula>MAX($J$15:$J$23)+0.5</formula>
      <formula>MAX($J$15:$J$23)+1.5</formula>
    </cfRule>
  </conditionalFormatting>
  <conditionalFormatting sqref="K15:K23">
    <cfRule type="cellIs" priority="7" dxfId="0" operator="between" stopIfTrue="1">
      <formula>MAX($K$15:$K$23)-0.5</formula>
      <formula>MAX($K$15:$K$23)+0.5</formula>
    </cfRule>
    <cfRule type="cellIs" priority="8" dxfId="1" operator="between" stopIfTrue="1">
      <formula>MAX($K$15:$K$23)-0.5</formula>
      <formula>MAX($K$15:$K$23)-1.5</formula>
    </cfRule>
    <cfRule type="cellIs" priority="9" dxfId="1" operator="between" stopIfTrue="1">
      <formula>MAX($K$15:$K$23)+0.5</formula>
      <formula>MAX($K$15:$K$23)+1.5</formula>
    </cfRule>
  </conditionalFormatting>
  <conditionalFormatting sqref="G15:G23">
    <cfRule type="cellIs" priority="10" dxfId="0" operator="between" stopIfTrue="1">
      <formula>MAX($G$15:$G$23)-0.5</formula>
      <formula>MAX($G$15:$G$23)+0.5</formula>
    </cfRule>
    <cfRule type="cellIs" priority="11" dxfId="1" operator="between" stopIfTrue="1">
      <formula>MAX($G$15:$G$23)-0.5</formula>
      <formula>MAX($G$15:$G$23)-1.5</formula>
    </cfRule>
    <cfRule type="cellIs" priority="12" dxfId="1" operator="between" stopIfTrue="1">
      <formula>MAX($G$15:$G$23)+0.5</formula>
      <formula>MAX($G$15:$G$23)+1.5</formula>
    </cfRule>
  </conditionalFormatting>
  <conditionalFormatting sqref="H15:H23">
    <cfRule type="cellIs" priority="13" dxfId="0" operator="between" stopIfTrue="1">
      <formula>MAX($H$15:$H$23)-0.5</formula>
      <formula>MAX($H$15:$H$23)+0.5</formula>
    </cfRule>
    <cfRule type="cellIs" priority="14" dxfId="1" operator="between" stopIfTrue="1">
      <formula>MAX($H$15:$H$23)-0.5</formula>
      <formula>MAX($H$15:$H$23)-1.5</formula>
    </cfRule>
    <cfRule type="cellIs" priority="15" dxfId="1" operator="between" stopIfTrue="1">
      <formula>MAX($H$15:$H$23)+0.5</formula>
      <formula>MAX($H$15:$HG$23)+1.5</formula>
    </cfRule>
  </conditionalFormatting>
  <conditionalFormatting sqref="L15:L23">
    <cfRule type="cellIs" priority="16" dxfId="0" operator="between" stopIfTrue="1">
      <formula>MAX($L$15:$L$23)-0.5</formula>
      <formula>MAX($L$15:$L$23)+0.5</formula>
    </cfRule>
    <cfRule type="cellIs" priority="17" dxfId="1" operator="between" stopIfTrue="1">
      <formula>MAX($L$15:$L$23)-0.5</formula>
      <formula>MAX($L$15:$L$23)-1.5</formula>
    </cfRule>
    <cfRule type="cellIs" priority="18" dxfId="1" operator="between" stopIfTrue="1">
      <formula>MAX($L$15:$L$23)+0.5</formula>
      <formula>MAX($L$15:$L$23)+1.5</formula>
    </cfRule>
  </conditionalFormatting>
  <conditionalFormatting sqref="M15:M23">
    <cfRule type="cellIs" priority="19" dxfId="0" operator="between" stopIfTrue="1">
      <formula>MAX($M$15:$M$23)-0.5</formula>
      <formula>MAX($M$15:$M$23)+0.5</formula>
    </cfRule>
    <cfRule type="cellIs" priority="20" dxfId="1" operator="between" stopIfTrue="1">
      <formula>MAX($M$15:$M$23)-0.5</formula>
      <formula>MAX($M$15:$M$23)-1.5</formula>
    </cfRule>
    <cfRule type="cellIs" priority="21" dxfId="1" operator="between" stopIfTrue="1">
      <formula>MAX($M$15:$M$23)+0.5</formula>
      <formula>MAX($M$15:$M$23)+1.5</formula>
    </cfRule>
  </conditionalFormatting>
  <hyperlinks>
    <hyperlink ref="D5" location="'Barley (Moist) Crop'!A1" display="Return to Barley (Moist) as variable"/>
    <hyperlink ref="G5" location="'Barley (Moist) MR'!A1" display="Go to Marginal Return Chart"/>
    <hyperlink ref="K5" location="'Data Entry'!A1" display="Return to Data Entry"/>
  </hyperlink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S30"/>
  <sheetViews>
    <sheetView showGridLines="0" workbookViewId="0" topLeftCell="A1">
      <selection activeCell="H21" sqref="H21"/>
    </sheetView>
  </sheetViews>
  <sheetFormatPr defaultColWidth="9.140625" defaultRowHeight="12.75"/>
  <cols>
    <col min="1" max="1" width="1.57421875" style="10" customWidth="1"/>
    <col min="2" max="2" width="17.28125" style="10" customWidth="1"/>
    <col min="3" max="5" width="9.140625" style="10" customWidth="1"/>
    <col min="6" max="6" width="13.57421875" style="10" customWidth="1"/>
    <col min="7" max="13" width="9.140625" style="10" customWidth="1"/>
    <col min="14" max="14" width="16.00390625" style="10" customWidth="1"/>
    <col min="15" max="16384" width="9.140625" style="10" customWidth="1"/>
  </cols>
  <sheetData>
    <row r="1" spans="2:9" ht="6" customHeight="1" thickBot="1">
      <c r="B1" s="11"/>
      <c r="C1" s="11"/>
      <c r="D1" s="11"/>
      <c r="E1" s="11"/>
      <c r="F1" s="11"/>
      <c r="G1" s="11"/>
      <c r="H1" s="11"/>
      <c r="I1" s="11"/>
    </row>
    <row r="2" spans="1:13" ht="20.25">
      <c r="A2" s="11"/>
      <c r="B2" s="254" t="s">
        <v>40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6"/>
    </row>
    <row r="3" spans="1:13" ht="20.25">
      <c r="A3" s="11"/>
      <c r="B3" s="257" t="s">
        <v>48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9"/>
    </row>
    <row r="4" spans="1:14" ht="6.75" customHeight="1">
      <c r="A4" s="11"/>
      <c r="B4" s="13"/>
      <c r="C4" s="14"/>
      <c r="D4" s="14"/>
      <c r="E4" s="14"/>
      <c r="F4" s="14"/>
      <c r="H4" s="14"/>
      <c r="I4" s="14"/>
      <c r="J4" s="12"/>
      <c r="K4" s="12"/>
      <c r="L4" s="12"/>
      <c r="M4" s="15"/>
      <c r="N4" s="158"/>
    </row>
    <row r="5" spans="2:13" ht="12.75">
      <c r="B5" s="198"/>
      <c r="C5" s="199"/>
      <c r="D5" s="279" t="s">
        <v>83</v>
      </c>
      <c r="E5" s="280"/>
      <c r="F5" s="280"/>
      <c r="G5" s="279" t="s">
        <v>69</v>
      </c>
      <c r="H5" s="280"/>
      <c r="I5" s="280"/>
      <c r="J5" s="280"/>
      <c r="K5" s="261" t="s">
        <v>96</v>
      </c>
      <c r="L5" s="260"/>
      <c r="M5" s="262"/>
    </row>
    <row r="6" spans="1:14" ht="4.5" customHeight="1" thickBot="1">
      <c r="A6" s="16"/>
      <c r="B6" s="17"/>
      <c r="C6" s="18"/>
      <c r="D6" s="18"/>
      <c r="E6" s="18"/>
      <c r="F6" s="18"/>
      <c r="G6" s="18"/>
      <c r="H6" s="18"/>
      <c r="I6" s="18"/>
      <c r="J6" s="12"/>
      <c r="K6" s="12"/>
      <c r="L6" s="12"/>
      <c r="M6" s="15"/>
      <c r="N6" s="158"/>
    </row>
    <row r="7" spans="1:13" ht="15.75" customHeight="1" thickBot="1">
      <c r="A7" s="16"/>
      <c r="B7" s="234" t="s">
        <v>61</v>
      </c>
      <c r="C7" s="235"/>
      <c r="D7" s="18"/>
      <c r="E7" s="18"/>
      <c r="F7" s="18"/>
      <c r="G7" s="18"/>
      <c r="H7" s="19"/>
      <c r="I7" s="18"/>
      <c r="J7" s="19"/>
      <c r="K7" s="12"/>
      <c r="L7" s="12"/>
      <c r="M7" s="15"/>
    </row>
    <row r="8" spans="1:13" ht="15" customHeight="1">
      <c r="A8" s="16"/>
      <c r="B8" s="87" t="s">
        <v>58</v>
      </c>
      <c r="C8" s="21" t="s">
        <v>62</v>
      </c>
      <c r="D8" s="18"/>
      <c r="E8" s="22"/>
      <c r="F8" s="23"/>
      <c r="G8" s="23"/>
      <c r="H8" s="236" t="s">
        <v>63</v>
      </c>
      <c r="I8" s="237"/>
      <c r="J8" s="237"/>
      <c r="K8" s="237"/>
      <c r="L8" s="237"/>
      <c r="M8" s="24"/>
    </row>
    <row r="9" spans="1:13" ht="15">
      <c r="A9" s="16"/>
      <c r="B9" s="20" t="s">
        <v>60</v>
      </c>
      <c r="C9" s="83">
        <f>'Data Entry'!F15</f>
        <v>2.5</v>
      </c>
      <c r="D9" s="18"/>
      <c r="E9" s="17"/>
      <c r="F9" s="18"/>
      <c r="G9" s="18"/>
      <c r="H9" s="19"/>
      <c r="I9" s="18"/>
      <c r="J9" s="19"/>
      <c r="K9" s="12"/>
      <c r="L9" s="12"/>
      <c r="M9" s="15"/>
    </row>
    <row r="10" spans="1:13" ht="15">
      <c r="A10" s="16"/>
      <c r="B10" s="30" t="s">
        <v>20</v>
      </c>
      <c r="C10" s="106">
        <f>'Data Entry'!C11</f>
        <v>10</v>
      </c>
      <c r="D10" s="18"/>
      <c r="E10" s="17"/>
      <c r="F10" s="18"/>
      <c r="G10" s="108">
        <f>H10-$C$12</f>
        <v>550</v>
      </c>
      <c r="H10" s="108">
        <f>I10-$C$12</f>
        <v>600</v>
      </c>
      <c r="I10" s="108">
        <f>J10-$C$12</f>
        <v>650</v>
      </c>
      <c r="J10" s="109">
        <f>'Data Entry'!C8</f>
        <v>700</v>
      </c>
      <c r="K10" s="108">
        <f>J10+$C$12</f>
        <v>750</v>
      </c>
      <c r="L10" s="108">
        <f>K10+$C$12</f>
        <v>800</v>
      </c>
      <c r="M10" s="110">
        <f>L10+$C$12</f>
        <v>850</v>
      </c>
    </row>
    <row r="11" spans="1:13" ht="15">
      <c r="A11" s="16"/>
      <c r="B11" s="33" t="s">
        <v>106</v>
      </c>
      <c r="C11" s="46"/>
      <c r="D11" s="18"/>
      <c r="E11" s="17"/>
      <c r="F11" s="29" t="s">
        <v>6</v>
      </c>
      <c r="G11" s="18"/>
      <c r="H11" s="18"/>
      <c r="I11" s="18"/>
      <c r="J11" s="12"/>
      <c r="K11" s="12"/>
      <c r="L11" s="12"/>
      <c r="M11" s="15"/>
    </row>
    <row r="12" spans="1:13" ht="15">
      <c r="A12" s="16"/>
      <c r="B12" s="37" t="s">
        <v>56</v>
      </c>
      <c r="C12" s="61">
        <f>'Data Entry'!C17</f>
        <v>50</v>
      </c>
      <c r="D12" s="18"/>
      <c r="E12" s="32"/>
      <c r="F12" s="29" t="s">
        <v>7</v>
      </c>
      <c r="G12" s="274" t="s">
        <v>8</v>
      </c>
      <c r="H12" s="274"/>
      <c r="I12" s="274"/>
      <c r="J12" s="274"/>
      <c r="K12" s="274"/>
      <c r="L12" s="274"/>
      <c r="M12" s="275"/>
    </row>
    <row r="13" spans="1:13" ht="15.75" thickBot="1">
      <c r="A13" s="16"/>
      <c r="B13" s="43" t="s">
        <v>28</v>
      </c>
      <c r="C13" s="46"/>
      <c r="D13" s="18"/>
      <c r="E13" s="35" t="s">
        <v>9</v>
      </c>
      <c r="F13" s="36" t="s">
        <v>10</v>
      </c>
      <c r="G13" s="219" t="s">
        <v>23</v>
      </c>
      <c r="H13" s="219"/>
      <c r="I13" s="219"/>
      <c r="J13" s="219"/>
      <c r="K13" s="219"/>
      <c r="L13" s="219"/>
      <c r="M13" s="212"/>
    </row>
    <row r="14" spans="1:13" ht="15">
      <c r="A14" s="16"/>
      <c r="B14" s="113" t="s">
        <v>29</v>
      </c>
      <c r="C14" s="107">
        <f>'Data Entry'!C15</f>
        <v>30</v>
      </c>
      <c r="D14" s="18"/>
      <c r="E14" s="39" t="s">
        <v>11</v>
      </c>
      <c r="F14" s="40" t="s">
        <v>12</v>
      </c>
      <c r="G14" s="111">
        <f>'Data Entry'!$F$15/(G$10/(('Data Entry'!$C$9/100)*2200))</f>
        <v>4.6000000000000005</v>
      </c>
      <c r="H14" s="111">
        <f>'Data Entry'!$F$15/(H$10/(('Data Entry'!$C$9/100)*2200))</f>
        <v>4.216666666666667</v>
      </c>
      <c r="I14" s="111">
        <f>'Data Entry'!$F$15/(I$10/(('Data Entry'!$C$9/100)*2200))</f>
        <v>3.8923076923076927</v>
      </c>
      <c r="J14" s="111">
        <f>'Data Entry'!$F$15/(J$10/(('Data Entry'!$C$9/100)*2200))</f>
        <v>3.6142857142857143</v>
      </c>
      <c r="K14" s="111">
        <f>'Data Entry'!$F$15/(K$10/(('Data Entry'!$C$9/100)*2200))</f>
        <v>3.373333333333333</v>
      </c>
      <c r="L14" s="111">
        <f>'Data Entry'!$F$15/(L$10/(('Data Entry'!$C$9/100)*2200))</f>
        <v>3.1625</v>
      </c>
      <c r="M14" s="112">
        <f>'Data Entry'!$F$15/(M$10/(('Data Entry'!$C$9/100)*2200))</f>
        <v>2.976470588235294</v>
      </c>
    </row>
    <row r="15" spans="1:13" ht="15">
      <c r="A15" s="16"/>
      <c r="B15" s="43" t="s">
        <v>30</v>
      </c>
      <c r="C15" s="46"/>
      <c r="D15" s="18"/>
      <c r="E15" s="190">
        <f>IF((E19-4*$C$10)&lt;0,0,(E19-4*$C$10))</f>
        <v>10</v>
      </c>
      <c r="F15" s="126">
        <f aca="true" t="shared" si="0" ref="F15:F23">IF(((-0.0082*(E15+$C$14)^2+1.5595*(E15+$C$14))-(-0.0082*($C$14)^2+1.5595*($C$14)))&lt;0,0,(-0.0082*(E15+$C$14)^2+1.5595*(E15+$C$14))-(-0.0082*($C$14)^2+1.5595*($C$14)))</f>
        <v>9.855000000000004</v>
      </c>
      <c r="G15" s="135">
        <f>('Data Entry'!$F$15*$F15)-(G$10/(('Data Entry'!$C$9/100)*2200))*($E15)</f>
        <v>19.202717391304358</v>
      </c>
      <c r="H15" s="135">
        <f>('Data Entry'!$F$15*$F15)-(H$10/(('Data Entry'!$C$9/100)*2200))*($E15)</f>
        <v>18.7086462450593</v>
      </c>
      <c r="I15" s="135">
        <f>('Data Entry'!$F$15*$F15)-(I$10/(('Data Entry'!$C$9/100)*2200))*($E15)</f>
        <v>18.21457509881424</v>
      </c>
      <c r="J15" s="135">
        <f>('Data Entry'!$F$15*$F15)-(J$10/(('Data Entry'!$C$9/100)*2200))*($E15)</f>
        <v>17.72050395256918</v>
      </c>
      <c r="K15" s="135">
        <f>('Data Entry'!$F$15*$F15)-(K$10/(('Data Entry'!$C$9/100)*2200))*($E15)</f>
        <v>17.22643280632412</v>
      </c>
      <c r="L15" s="135">
        <f>('Data Entry'!$F$15*$F15)-(L$10/(('Data Entry'!$C$9/100)*2200))*($E15)</f>
        <v>16.73236166007906</v>
      </c>
      <c r="M15" s="136">
        <f>('Data Entry'!$F$15*$F15)-(M$10/(('Data Entry'!$C$9/100)*2200))*($E15)</f>
        <v>16.238290513834002</v>
      </c>
    </row>
    <row r="16" spans="1:13" ht="15">
      <c r="A16" s="16"/>
      <c r="B16" s="54"/>
      <c r="D16" s="18"/>
      <c r="E16" s="190">
        <f>IF((E20-4*$C$10)&lt;0,0,(E20-4*$C$10))</f>
        <v>20</v>
      </c>
      <c r="F16" s="126">
        <f t="shared" si="0"/>
        <v>18.070000000000007</v>
      </c>
      <c r="G16" s="135">
        <f>('Data Entry'!$F$15*$F16)-(G$10/(('Data Entry'!$C$9/100)*2200))*($E16)</f>
        <v>34.305434782608714</v>
      </c>
      <c r="H16" s="135">
        <f>('Data Entry'!$F$15*$F16)-(H$10/(('Data Entry'!$C$9/100)*2200))*($E16)</f>
        <v>33.3172924901186</v>
      </c>
      <c r="I16" s="135">
        <f>('Data Entry'!$F$15*$F16)-(I$10/(('Data Entry'!$C$9/100)*2200))*($E16)</f>
        <v>32.32915019762848</v>
      </c>
      <c r="J16" s="135">
        <f>('Data Entry'!$F$15*$F16)-(J$10/(('Data Entry'!$C$9/100)*2200))*($E16)</f>
        <v>31.34100790513836</v>
      </c>
      <c r="K16" s="135">
        <f>('Data Entry'!$F$15*$F16)-(K$10/(('Data Entry'!$C$9/100)*2200))*($E16)</f>
        <v>30.352865612648237</v>
      </c>
      <c r="L16" s="135">
        <f>('Data Entry'!$F$15*$F16)-(L$10/(('Data Entry'!$C$9/100)*2200))*($E16)</f>
        <v>29.36472332015812</v>
      </c>
      <c r="M16" s="136">
        <f>('Data Entry'!$F$15*$F16)-(M$10/(('Data Entry'!$C$9/100)*2200))*($E16)</f>
        <v>28.376581027668003</v>
      </c>
    </row>
    <row r="17" spans="1:13" ht="15">
      <c r="A17" s="16"/>
      <c r="B17" s="54"/>
      <c r="D17" s="18"/>
      <c r="E17" s="190">
        <f>IF((E21-4*$C$10)&lt;0,0,(E21-4*$C$10))</f>
        <v>30</v>
      </c>
      <c r="F17" s="126">
        <f t="shared" si="0"/>
        <v>24.64500000000001</v>
      </c>
      <c r="G17" s="135">
        <f>('Data Entry'!$F$15*$F17)-(G$10/(('Data Entry'!$C$9/100)*2200))*($E17)</f>
        <v>45.30815217391307</v>
      </c>
      <c r="H17" s="135">
        <f>('Data Entry'!$F$15*$F17)-(H$10/(('Data Entry'!$C$9/100)*2200))*($E17)</f>
        <v>43.825938735177886</v>
      </c>
      <c r="I17" s="135">
        <f>('Data Entry'!$F$15*$F17)-(I$10/(('Data Entry'!$C$9/100)*2200))*($E17)</f>
        <v>42.34372529644271</v>
      </c>
      <c r="J17" s="135">
        <f>('Data Entry'!$F$15*$F17)-(J$10/(('Data Entry'!$C$9/100)*2200))*($E17)</f>
        <v>40.861511857707534</v>
      </c>
      <c r="K17" s="135">
        <f>('Data Entry'!$F$15*$F17)-(K$10/(('Data Entry'!$C$9/100)*2200))*($E17)</f>
        <v>39.379298418972354</v>
      </c>
      <c r="L17" s="135">
        <f>('Data Entry'!$F$15*$F17)-(L$10/(('Data Entry'!$C$9/100)*2200))*($E17)</f>
        <v>37.89708498023718</v>
      </c>
      <c r="M17" s="136">
        <f>('Data Entry'!$F$15*$F17)-(M$10/(('Data Entry'!$C$9/100)*2200))*($E17)</f>
        <v>36.414871541502</v>
      </c>
    </row>
    <row r="18" spans="1:13" ht="15.75" thickBot="1">
      <c r="A18" s="16"/>
      <c r="B18" s="17"/>
      <c r="C18" s="18"/>
      <c r="D18" s="18"/>
      <c r="E18" s="193">
        <f>IF((E22-4*$C$10)&lt;0,0,(E22-4*$C$10))</f>
        <v>40</v>
      </c>
      <c r="F18" s="126">
        <f t="shared" si="0"/>
        <v>29.58</v>
      </c>
      <c r="G18" s="135">
        <f>('Data Entry'!$F$15*$F18)-(G$10/(('Data Entry'!$C$9/100)*2200))*($E18)</f>
        <v>52.21086956521738</v>
      </c>
      <c r="H18" s="135">
        <f>('Data Entry'!$F$15*$F18)-(H$10/(('Data Entry'!$C$9/100)*2200))*($E18)</f>
        <v>50.234584980237145</v>
      </c>
      <c r="I18" s="135">
        <f>('Data Entry'!$F$15*$F18)-(I$10/(('Data Entry'!$C$9/100)*2200))*($E18)</f>
        <v>48.25830039525691</v>
      </c>
      <c r="J18" s="135">
        <f>('Data Entry'!$F$15*$F18)-(J$10/(('Data Entry'!$C$9/100)*2200))*($E18)</f>
        <v>46.28201581027667</v>
      </c>
      <c r="K18" s="135">
        <f>('Data Entry'!$F$15*$F18)-(K$10/(('Data Entry'!$C$9/100)*2200))*($E18)</f>
        <v>44.30573122529643</v>
      </c>
      <c r="L18" s="135">
        <f>('Data Entry'!$F$15*$F18)-(L$10/(('Data Entry'!$C$9/100)*2200))*($E18)</f>
        <v>42.32944664031619</v>
      </c>
      <c r="M18" s="136">
        <f>('Data Entry'!$F$15*$F18)-(M$10/(('Data Entry'!$C$9/100)*2200))*($E18)</f>
        <v>40.35316205533596</v>
      </c>
    </row>
    <row r="19" spans="1:13" ht="15.75" thickBot="1">
      <c r="A19" s="16"/>
      <c r="B19" s="54"/>
      <c r="C19" s="48"/>
      <c r="D19" s="49" t="s">
        <v>13</v>
      </c>
      <c r="E19" s="50">
        <f>'Data Entry'!G10</f>
        <v>50</v>
      </c>
      <c r="F19" s="192">
        <f t="shared" si="0"/>
        <v>32.875</v>
      </c>
      <c r="G19" s="135">
        <f>('Data Entry'!$F$15*$F19)-(G$10/(('Data Entry'!$C$9/100)*2200))*($E19)</f>
        <v>55.01358695652174</v>
      </c>
      <c r="H19" s="135">
        <f>('Data Entry'!$F$15*$F19)-(H$10/(('Data Entry'!$C$9/100)*2200))*($E19)</f>
        <v>52.54323122529644</v>
      </c>
      <c r="I19" s="135">
        <f>('Data Entry'!$F$15*$F19)-(I$10/(('Data Entry'!$C$9/100)*2200))*($E19)</f>
        <v>50.07287549407115</v>
      </c>
      <c r="J19" s="135">
        <f>('Data Entry'!$F$15*$F19)-(J$10/(('Data Entry'!$C$9/100)*2200))*($E19)</f>
        <v>47.60251976284585</v>
      </c>
      <c r="K19" s="135">
        <f>('Data Entry'!$F$15*$F19)-(K$10/(('Data Entry'!$C$9/100)*2200))*($E19)</f>
        <v>45.13216403162055</v>
      </c>
      <c r="L19" s="135">
        <f>('Data Entry'!$F$15*$F19)-(L$10/(('Data Entry'!$C$9/100)*2200))*($E19)</f>
        <v>42.66180830039526</v>
      </c>
      <c r="M19" s="136">
        <f>('Data Entry'!$F$15*$F19)-(M$10/(('Data Entry'!$C$9/100)*2200))*($E19)</f>
        <v>40.19145256916996</v>
      </c>
    </row>
    <row r="20" spans="1:13" ht="15">
      <c r="A20" s="16"/>
      <c r="B20" s="17"/>
      <c r="C20" s="18"/>
      <c r="D20" s="18"/>
      <c r="E20" s="194">
        <f>E19+C10</f>
        <v>60</v>
      </c>
      <c r="F20" s="126">
        <f t="shared" si="0"/>
        <v>34.530000000000015</v>
      </c>
      <c r="G20" s="135">
        <f>('Data Entry'!$F$15*$F20)-(G$10/(('Data Entry'!$C$9/100)*2200))*($E20)</f>
        <v>53.71630434782613</v>
      </c>
      <c r="H20" s="135">
        <f>('Data Entry'!$F$15*$F20)-(H$10/(('Data Entry'!$C$9/100)*2200))*($E20)</f>
        <v>50.75187747035577</v>
      </c>
      <c r="I20" s="135">
        <f>('Data Entry'!$F$15*$F20)-(I$10/(('Data Entry'!$C$9/100)*2200))*($E20)</f>
        <v>47.78745059288542</v>
      </c>
      <c r="J20" s="135">
        <f>('Data Entry'!$F$15*$F20)-(J$10/(('Data Entry'!$C$9/100)*2200))*($E20)</f>
        <v>44.82302371541506</v>
      </c>
      <c r="K20" s="135">
        <f>('Data Entry'!$F$15*$F20)-(K$10/(('Data Entry'!$C$9/100)*2200))*($E20)</f>
        <v>41.85859683794471</v>
      </c>
      <c r="L20" s="135">
        <f>('Data Entry'!$F$15*$F20)-(L$10/(('Data Entry'!$C$9/100)*2200))*($E20)</f>
        <v>38.89416996047436</v>
      </c>
      <c r="M20" s="136">
        <f>('Data Entry'!$F$15*$F20)-(M$10/(('Data Entry'!$C$9/100)*2200))*($E20)</f>
        <v>35.929743083004</v>
      </c>
    </row>
    <row r="21" spans="1:13" ht="15">
      <c r="A21" s="16"/>
      <c r="B21" s="17"/>
      <c r="C21" s="18"/>
      <c r="D21" s="18"/>
      <c r="E21" s="190">
        <f>E19+2*C10</f>
        <v>70</v>
      </c>
      <c r="F21" s="126">
        <f t="shared" si="0"/>
        <v>34.545000000000016</v>
      </c>
      <c r="G21" s="135">
        <f>('Data Entry'!$F$15*$F21)-(G$10/(('Data Entry'!$C$9/100)*2200))*($E21)</f>
        <v>48.31902173913048</v>
      </c>
      <c r="H21" s="135">
        <f>('Data Entry'!$F$15*$F21)-(H$10/(('Data Entry'!$C$9/100)*2200))*($E21)</f>
        <v>44.860523715415056</v>
      </c>
      <c r="I21" s="135">
        <f>('Data Entry'!$F$15*$F21)-(I$10/(('Data Entry'!$C$9/100)*2200))*($E21)</f>
        <v>41.40202569169965</v>
      </c>
      <c r="J21" s="135">
        <f>('Data Entry'!$F$15*$F21)-(J$10/(('Data Entry'!$C$9/100)*2200))*($E21)</f>
        <v>37.94352766798423</v>
      </c>
      <c r="K21" s="135">
        <f>('Data Entry'!$F$15*$F21)-(K$10/(('Data Entry'!$C$9/100)*2200))*($E21)</f>
        <v>34.48502964426881</v>
      </c>
      <c r="L21" s="135">
        <f>('Data Entry'!$F$15*$F21)-(L$10/(('Data Entry'!$C$9/100)*2200))*($E21)</f>
        <v>31.0265316205534</v>
      </c>
      <c r="M21" s="136">
        <f>('Data Entry'!$F$15*$F21)-(M$10/(('Data Entry'!$C$9/100)*2200))*($E21)</f>
        <v>27.568033596837985</v>
      </c>
    </row>
    <row r="22" spans="1:13" ht="15">
      <c r="A22" s="16"/>
      <c r="B22" s="17"/>
      <c r="C22" s="18"/>
      <c r="D22" s="18"/>
      <c r="E22" s="190">
        <f>E19+3*C10</f>
        <v>80</v>
      </c>
      <c r="F22" s="126">
        <f t="shared" si="0"/>
        <v>32.92</v>
      </c>
      <c r="G22" s="135">
        <f>('Data Entry'!$F$15*$F22)-(G$10/(('Data Entry'!$C$9/100)*2200))*($E22)</f>
        <v>38.82173913043479</v>
      </c>
      <c r="H22" s="135">
        <f>('Data Entry'!$F$15*$F22)-(H$10/(('Data Entry'!$C$9/100)*2200))*($E22)</f>
        <v>34.869169960474316</v>
      </c>
      <c r="I22" s="135">
        <f>('Data Entry'!$F$15*$F22)-(I$10/(('Data Entry'!$C$9/100)*2200))*($E22)</f>
        <v>30.916600790513847</v>
      </c>
      <c r="J22" s="135">
        <f>('Data Entry'!$F$15*$F22)-(J$10/(('Data Entry'!$C$9/100)*2200))*($E22)</f>
        <v>26.96403162055337</v>
      </c>
      <c r="K22" s="135">
        <f>('Data Entry'!$F$15*$F22)-(K$10/(('Data Entry'!$C$9/100)*2200))*($E22)</f>
        <v>23.011462450592894</v>
      </c>
      <c r="L22" s="135">
        <f>('Data Entry'!$F$15*$F22)-(L$10/(('Data Entry'!$C$9/100)*2200))*($E22)</f>
        <v>19.058893280632425</v>
      </c>
      <c r="M22" s="136">
        <f>('Data Entry'!$F$15*$F22)-(M$10/(('Data Entry'!$C$9/100)*2200))*($E22)</f>
        <v>15.106324110671949</v>
      </c>
    </row>
    <row r="23" spans="1:13" ht="15">
      <c r="A23" s="16"/>
      <c r="B23" s="17"/>
      <c r="C23" s="18"/>
      <c r="D23" s="18"/>
      <c r="E23" s="190">
        <f>E19+4*C10</f>
        <v>90</v>
      </c>
      <c r="F23" s="126">
        <f t="shared" si="0"/>
        <v>29.655</v>
      </c>
      <c r="G23" s="135">
        <f>('Data Entry'!$F$15*$F23)-(G$10/(('Data Entry'!$C$9/100)*2200))*($E23)</f>
        <v>25.224456521739135</v>
      </c>
      <c r="H23" s="135">
        <f>('Data Entry'!$F$15*$F23)-(H$10/(('Data Entry'!$C$9/100)*2200))*($E23)</f>
        <v>20.777816205533597</v>
      </c>
      <c r="I23" s="135">
        <f>('Data Entry'!$F$15*$F23)-(I$10/(('Data Entry'!$C$9/100)*2200))*($E23)</f>
        <v>16.331175889328073</v>
      </c>
      <c r="J23" s="135">
        <f>('Data Entry'!$F$15*$F23)-(J$10/(('Data Entry'!$C$9/100)*2200))*($E23)</f>
        <v>11.884535573122534</v>
      </c>
      <c r="K23" s="135">
        <f>('Data Entry'!$F$15*$F23)-(K$10/(('Data Entry'!$C$9/100)*2200))*($E23)</f>
        <v>7.437895256916988</v>
      </c>
      <c r="L23" s="135">
        <f>('Data Entry'!$F$15*$F23)-(L$10/(('Data Entry'!$C$9/100)*2200))*($E23)</f>
        <v>2.991254940711471</v>
      </c>
      <c r="M23" s="136">
        <f>('Data Entry'!$F$15*$F23)-(M$10/(('Data Entry'!$C$9/100)*2200))*($E23)</f>
        <v>-1.4553853754940747</v>
      </c>
    </row>
    <row r="24" spans="1:13" ht="13.5" customHeight="1">
      <c r="A24" s="16"/>
      <c r="B24" s="17"/>
      <c r="C24" s="18"/>
      <c r="D24" s="18"/>
      <c r="E24" s="263" t="s">
        <v>54</v>
      </c>
      <c r="F24" s="264"/>
      <c r="G24" s="277"/>
      <c r="H24" s="277"/>
      <c r="I24" s="277"/>
      <c r="J24" s="277"/>
      <c r="K24" s="277"/>
      <c r="L24" s="277"/>
      <c r="M24" s="278"/>
    </row>
    <row r="25" spans="1:13" ht="9.75" customHeight="1">
      <c r="A25" s="16"/>
      <c r="B25" s="17"/>
      <c r="C25" s="18"/>
      <c r="D25" s="18"/>
      <c r="E25" s="263" t="s">
        <v>16</v>
      </c>
      <c r="F25" s="264"/>
      <c r="G25" s="264"/>
      <c r="H25" s="264"/>
      <c r="I25" s="264"/>
      <c r="J25" s="264"/>
      <c r="K25" s="264"/>
      <c r="L25" s="264"/>
      <c r="M25" s="265"/>
    </row>
    <row r="26" spans="1:13" ht="9.75" customHeight="1">
      <c r="A26" s="16"/>
      <c r="B26" s="17"/>
      <c r="C26" s="18"/>
      <c r="D26" s="18"/>
      <c r="E26" s="263" t="s">
        <v>24</v>
      </c>
      <c r="F26" s="264"/>
      <c r="G26" s="264"/>
      <c r="H26" s="264"/>
      <c r="I26" s="264"/>
      <c r="J26" s="264"/>
      <c r="K26" s="264"/>
      <c r="L26" s="264"/>
      <c r="M26" s="265"/>
    </row>
    <row r="27" spans="1:19" ht="11.25" customHeight="1">
      <c r="A27" s="16"/>
      <c r="B27" s="17"/>
      <c r="C27" s="18"/>
      <c r="D27" s="18"/>
      <c r="E27" s="249" t="s">
        <v>87</v>
      </c>
      <c r="F27" s="284"/>
      <c r="G27" s="284"/>
      <c r="H27" s="284"/>
      <c r="I27" s="284"/>
      <c r="J27" s="284"/>
      <c r="K27" s="284"/>
      <c r="L27" s="284"/>
      <c r="M27" s="262"/>
      <c r="N27" s="130"/>
      <c r="O27"/>
      <c r="P27"/>
      <c r="Q27"/>
      <c r="R27"/>
      <c r="S27"/>
    </row>
    <row r="28" spans="1:13" ht="12" customHeight="1" thickBot="1">
      <c r="A28" s="16"/>
      <c r="B28" s="17"/>
      <c r="C28" s="18"/>
      <c r="D28" s="18"/>
      <c r="E28" s="269" t="s">
        <v>38</v>
      </c>
      <c r="F28" s="271"/>
      <c r="G28" s="271"/>
      <c r="H28" s="271"/>
      <c r="I28" s="271"/>
      <c r="J28" s="272"/>
      <c r="K28" s="272"/>
      <c r="L28" s="272"/>
      <c r="M28" s="273"/>
    </row>
    <row r="29" spans="1:13" ht="11.25" customHeight="1">
      <c r="A29" s="16"/>
      <c r="B29" s="17"/>
      <c r="C29" s="18"/>
      <c r="D29" s="18"/>
      <c r="E29" s="53"/>
      <c r="F29" s="53"/>
      <c r="G29" s="53"/>
      <c r="H29" s="53"/>
      <c r="I29" s="53"/>
      <c r="J29" s="12"/>
      <c r="K29" s="12"/>
      <c r="L29" s="12"/>
      <c r="M29" s="15"/>
    </row>
    <row r="30" spans="2:13" ht="11.25" customHeight="1" thickBot="1">
      <c r="B30" s="215"/>
      <c r="C30" s="216"/>
      <c r="D30" s="216"/>
      <c r="E30" s="216"/>
      <c r="F30" s="216"/>
      <c r="G30" s="216"/>
      <c r="H30" s="216"/>
      <c r="I30" s="216"/>
      <c r="J30" s="55"/>
      <c r="K30" s="55"/>
      <c r="L30" s="55"/>
      <c r="M30" s="56"/>
    </row>
  </sheetData>
  <sheetProtection password="CE5A" sheet="1" objects="1" scenarios="1"/>
  <mergeCells count="15">
    <mergeCell ref="H8:L8"/>
    <mergeCell ref="G12:M12"/>
    <mergeCell ref="G13:M13"/>
    <mergeCell ref="B2:M2"/>
    <mergeCell ref="B3:M3"/>
    <mergeCell ref="B7:C7"/>
    <mergeCell ref="K5:M5"/>
    <mergeCell ref="G5:J5"/>
    <mergeCell ref="D5:F5"/>
    <mergeCell ref="E24:M24"/>
    <mergeCell ref="E27:M27"/>
    <mergeCell ref="E28:M28"/>
    <mergeCell ref="B30:I30"/>
    <mergeCell ref="E25:M25"/>
    <mergeCell ref="E26:M26"/>
  </mergeCells>
  <conditionalFormatting sqref="I15:I23">
    <cfRule type="cellIs" priority="1" dxfId="0" operator="between" stopIfTrue="1">
      <formula>MAX($I$15:$I$23)-0.5</formula>
      <formula>MAX($I$15:$I$23)+0.5</formula>
    </cfRule>
    <cfRule type="cellIs" priority="2" dxfId="1" operator="between" stopIfTrue="1">
      <formula>MAX($I$15:$I$23)-0.5</formula>
      <formula>MAX($I$15:$I$23)-1.5</formula>
    </cfRule>
    <cfRule type="cellIs" priority="3" dxfId="1" operator="between" stopIfTrue="1">
      <formula>MAX($I$15:$I$23)+0.5</formula>
      <formula>MAX($I$15:$I$23)+1.5</formula>
    </cfRule>
  </conditionalFormatting>
  <conditionalFormatting sqref="J15:J23">
    <cfRule type="cellIs" priority="4" dxfId="0" operator="between" stopIfTrue="1">
      <formula>MAX($J$15:$J$23)-0.5</formula>
      <formula>MAX($J$15:$J$23)+0.5</formula>
    </cfRule>
    <cfRule type="cellIs" priority="5" dxfId="1" operator="between" stopIfTrue="1">
      <formula>MAX($J$15:$J$23)-0.5</formula>
      <formula>MAX($J$15:$J$23)-1.5</formula>
    </cfRule>
    <cfRule type="cellIs" priority="6" dxfId="1" operator="between" stopIfTrue="1">
      <formula>MAX($J$15:$J$23)+0.5</formula>
      <formula>MAX($J$15:$J$23)+1.5</formula>
    </cfRule>
  </conditionalFormatting>
  <conditionalFormatting sqref="K15:K23">
    <cfRule type="cellIs" priority="7" dxfId="0" operator="between" stopIfTrue="1">
      <formula>MAX($K$15:$K$23)-0.5</formula>
      <formula>MAX($K$15:$K$23)+0.5</formula>
    </cfRule>
    <cfRule type="cellIs" priority="8" dxfId="1" operator="between" stopIfTrue="1">
      <formula>MAX($K$15:$K$23)-0.5</formula>
      <formula>MAX($K$15:$K$23)-1.5</formula>
    </cfRule>
    <cfRule type="cellIs" priority="9" dxfId="1" operator="between" stopIfTrue="1">
      <formula>MAX($K$15:$K$23)+0.5</formula>
      <formula>MAX($K$15:$K$23)+1.5</formula>
    </cfRule>
  </conditionalFormatting>
  <conditionalFormatting sqref="G15:G23">
    <cfRule type="cellIs" priority="10" dxfId="0" operator="between" stopIfTrue="1">
      <formula>MAX($G$15:$G$23)-0.5</formula>
      <formula>MAX($G$15:$G$23)+0.5</formula>
    </cfRule>
    <cfRule type="cellIs" priority="11" dxfId="1" operator="between" stopIfTrue="1">
      <formula>MAX($G$15:$G$23)-0.5</formula>
      <formula>MAX($G$15:$G$23)-1.5</formula>
    </cfRule>
    <cfRule type="cellIs" priority="12" dxfId="1" operator="between" stopIfTrue="1">
      <formula>MAX($G$15:$G$23)+0.5</formula>
      <formula>MAX($G$15:$G$23)+1.5</formula>
    </cfRule>
  </conditionalFormatting>
  <conditionalFormatting sqref="H15:H23">
    <cfRule type="cellIs" priority="13" dxfId="0" operator="between" stopIfTrue="1">
      <formula>MAX($H$15:$H$23)-0.5</formula>
      <formula>MAX($H$15:$H$23)+0.5</formula>
    </cfRule>
    <cfRule type="cellIs" priority="14" dxfId="1" operator="between" stopIfTrue="1">
      <formula>MAX($H$15:$H$23)-0.5</formula>
      <formula>MAX($H$15:$H$23)-1.5</formula>
    </cfRule>
    <cfRule type="cellIs" priority="15" dxfId="1" operator="between" stopIfTrue="1">
      <formula>MAX($H$15:$H$23)+0.5</formula>
      <formula>MAX($H$15:$HG$23)+1.5</formula>
    </cfRule>
  </conditionalFormatting>
  <conditionalFormatting sqref="L15:L23">
    <cfRule type="cellIs" priority="16" dxfId="0" operator="between" stopIfTrue="1">
      <formula>MAX($L$15:$L$23)-0.5</formula>
      <formula>MAX($L$15:$L$23)+0.5</formula>
    </cfRule>
    <cfRule type="cellIs" priority="17" dxfId="1" operator="between" stopIfTrue="1">
      <formula>MAX($L$15:$L$23)-0.5</formula>
      <formula>MAX($L$15:$L$23)-1.5</formula>
    </cfRule>
    <cfRule type="cellIs" priority="18" dxfId="1" operator="between" stopIfTrue="1">
      <formula>MAX($L$15:$L$23)+0.5</formula>
      <formula>MAX($L$15:$L$23)+1.5</formula>
    </cfRule>
  </conditionalFormatting>
  <conditionalFormatting sqref="M15:M23">
    <cfRule type="cellIs" priority="19" dxfId="0" operator="between" stopIfTrue="1">
      <formula>MAX($M$15:$M$23)-0.5</formula>
      <formula>MAX($M$15:$M$23)+0.5</formula>
    </cfRule>
    <cfRule type="cellIs" priority="20" dxfId="1" operator="between" stopIfTrue="1">
      <formula>MAX($M$15:$M$23)-0.5</formula>
      <formula>MAX($M$15:$M$23)-1.5</formula>
    </cfRule>
    <cfRule type="cellIs" priority="21" dxfId="1" operator="between" stopIfTrue="1">
      <formula>MAX($M$15:$M$23)+0.5</formula>
      <formula>MAX($M$15:$M$23)+1.5</formula>
    </cfRule>
  </conditionalFormatting>
  <hyperlinks>
    <hyperlink ref="D5" location="'Barley (Dry) Crop'!A1" display="Return to Barley (Dry) as variable"/>
    <hyperlink ref="G5" location="'Barley (Dry) MR'!A1" display="Go to Marginal Return Chart"/>
    <hyperlink ref="K5" location="'Data Entry'!A1" display="Return to Data Entry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30"/>
  <sheetViews>
    <sheetView showGridLines="0" workbookViewId="0" topLeftCell="A1">
      <selection activeCell="G15" sqref="G15"/>
    </sheetView>
  </sheetViews>
  <sheetFormatPr defaultColWidth="9.140625" defaultRowHeight="12.75"/>
  <cols>
    <col min="1" max="1" width="1.57421875" style="10" customWidth="1"/>
    <col min="2" max="2" width="17.28125" style="10" customWidth="1"/>
    <col min="3" max="5" width="9.140625" style="10" customWidth="1"/>
    <col min="6" max="6" width="13.57421875" style="10" customWidth="1"/>
    <col min="7" max="13" width="9.140625" style="10" customWidth="1"/>
    <col min="14" max="14" width="28.00390625" style="10" customWidth="1"/>
    <col min="15" max="16384" width="9.140625" style="10" customWidth="1"/>
  </cols>
  <sheetData>
    <row r="1" spans="1:9" ht="6" customHeight="1" thickBot="1">
      <c r="A1" s="154"/>
      <c r="B1" s="11"/>
      <c r="C1" s="11"/>
      <c r="D1" s="11"/>
      <c r="E1" s="11"/>
      <c r="F1" s="11"/>
      <c r="G1" s="11"/>
      <c r="H1" s="11"/>
      <c r="I1" s="11"/>
    </row>
    <row r="2" spans="1:13" ht="20.25">
      <c r="A2" s="11"/>
      <c r="B2" s="254" t="s">
        <v>40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6"/>
    </row>
    <row r="3" spans="1:13" ht="20.25">
      <c r="A3" s="11"/>
      <c r="B3" s="257" t="s">
        <v>49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9"/>
    </row>
    <row r="4" spans="1:14" ht="6.75" customHeight="1">
      <c r="A4" s="11"/>
      <c r="B4" s="13"/>
      <c r="C4" s="14"/>
      <c r="D4" s="14"/>
      <c r="E4" s="14"/>
      <c r="F4" s="14"/>
      <c r="G4" s="14"/>
      <c r="H4" s="14"/>
      <c r="I4" s="14"/>
      <c r="J4" s="12"/>
      <c r="K4" s="12"/>
      <c r="L4" s="12"/>
      <c r="M4" s="15"/>
      <c r="N4" s="158"/>
    </row>
    <row r="5" spans="2:13" ht="12.75">
      <c r="B5" s="198"/>
      <c r="C5" s="199"/>
      <c r="D5" s="279" t="s">
        <v>80</v>
      </c>
      <c r="E5" s="280"/>
      <c r="F5" s="280"/>
      <c r="G5" s="279" t="s">
        <v>69</v>
      </c>
      <c r="H5" s="280"/>
      <c r="I5" s="280"/>
      <c r="J5" s="280"/>
      <c r="K5" s="261" t="s">
        <v>96</v>
      </c>
      <c r="L5" s="260"/>
      <c r="M5" s="262"/>
    </row>
    <row r="6" spans="1:14" ht="4.5" customHeight="1" thickBot="1">
      <c r="A6" s="16"/>
      <c r="B6" s="17"/>
      <c r="C6" s="18"/>
      <c r="D6" s="18"/>
      <c r="E6" s="18"/>
      <c r="F6" s="18"/>
      <c r="G6" s="18"/>
      <c r="H6" s="18"/>
      <c r="I6" s="18"/>
      <c r="J6" s="12"/>
      <c r="K6" s="12"/>
      <c r="L6" s="12"/>
      <c r="M6" s="15"/>
      <c r="N6" s="158"/>
    </row>
    <row r="7" spans="1:13" ht="15.75" customHeight="1" thickBot="1">
      <c r="A7" s="16"/>
      <c r="B7" s="234" t="s">
        <v>61</v>
      </c>
      <c r="C7" s="235"/>
      <c r="D7" s="18"/>
      <c r="E7" s="18"/>
      <c r="F7" s="18"/>
      <c r="G7" s="18"/>
      <c r="H7" s="19"/>
      <c r="I7" s="18"/>
      <c r="J7" s="19"/>
      <c r="K7" s="12"/>
      <c r="L7" s="12"/>
      <c r="M7" s="15"/>
    </row>
    <row r="8" spans="1:13" ht="15" customHeight="1">
      <c r="A8" s="16"/>
      <c r="B8" s="87" t="s">
        <v>58</v>
      </c>
      <c r="C8" s="21" t="s">
        <v>62</v>
      </c>
      <c r="D8" s="18"/>
      <c r="E8" s="22"/>
      <c r="F8" s="23"/>
      <c r="G8" s="23"/>
      <c r="H8" s="236" t="s">
        <v>63</v>
      </c>
      <c r="I8" s="237"/>
      <c r="J8" s="237"/>
      <c r="K8" s="237"/>
      <c r="L8" s="237"/>
      <c r="M8" s="24"/>
    </row>
    <row r="9" spans="1:13" ht="15">
      <c r="A9" s="16"/>
      <c r="B9" s="20" t="s">
        <v>60</v>
      </c>
      <c r="C9" s="83">
        <f>'Data Entry'!F15</f>
        <v>2.5</v>
      </c>
      <c r="D9" s="18"/>
      <c r="E9" s="17"/>
      <c r="F9" s="18"/>
      <c r="G9" s="18"/>
      <c r="H9" s="19"/>
      <c r="I9" s="18"/>
      <c r="J9" s="19"/>
      <c r="K9" s="12"/>
      <c r="L9" s="12"/>
      <c r="M9" s="15"/>
    </row>
    <row r="10" spans="1:13" ht="15">
      <c r="A10" s="16"/>
      <c r="B10" s="30" t="s">
        <v>20</v>
      </c>
      <c r="C10" s="106">
        <f>'Data Entry'!C11</f>
        <v>10</v>
      </c>
      <c r="D10" s="18"/>
      <c r="E10" s="17"/>
      <c r="F10" s="18"/>
      <c r="G10" s="108">
        <f>H10-$C$12</f>
        <v>550</v>
      </c>
      <c r="H10" s="108">
        <f>I10-$C$12</f>
        <v>600</v>
      </c>
      <c r="I10" s="108">
        <f>J10-$C$12</f>
        <v>650</v>
      </c>
      <c r="J10" s="109">
        <f>'Data Entry'!C8</f>
        <v>700</v>
      </c>
      <c r="K10" s="108">
        <f>J10+$C$12</f>
        <v>750</v>
      </c>
      <c r="L10" s="108">
        <f>K10+$C$12</f>
        <v>800</v>
      </c>
      <c r="M10" s="110">
        <f>L10+$C$12</f>
        <v>850</v>
      </c>
    </row>
    <row r="11" spans="1:13" ht="15">
      <c r="A11" s="16"/>
      <c r="B11" s="33" t="s">
        <v>106</v>
      </c>
      <c r="C11" s="46"/>
      <c r="D11" s="18"/>
      <c r="E11" s="17"/>
      <c r="F11" s="29" t="s">
        <v>6</v>
      </c>
      <c r="G11" s="18"/>
      <c r="H11" s="18"/>
      <c r="I11" s="18"/>
      <c r="J11" s="12"/>
      <c r="K11" s="12"/>
      <c r="L11" s="12"/>
      <c r="M11" s="15"/>
    </row>
    <row r="12" spans="1:13" ht="15">
      <c r="A12" s="16"/>
      <c r="B12" s="37" t="s">
        <v>56</v>
      </c>
      <c r="C12" s="61">
        <f>'Data Entry'!C17</f>
        <v>50</v>
      </c>
      <c r="D12" s="18"/>
      <c r="E12" s="32"/>
      <c r="F12" s="29" t="s">
        <v>7</v>
      </c>
      <c r="G12" s="274" t="s">
        <v>8</v>
      </c>
      <c r="H12" s="274"/>
      <c r="I12" s="274"/>
      <c r="J12" s="274"/>
      <c r="K12" s="274"/>
      <c r="L12" s="274"/>
      <c r="M12" s="275"/>
    </row>
    <row r="13" spans="1:13" ht="15.75" thickBot="1">
      <c r="A13" s="16"/>
      <c r="B13" s="43" t="s">
        <v>28</v>
      </c>
      <c r="C13" s="46"/>
      <c r="D13" s="18"/>
      <c r="E13" s="35" t="s">
        <v>9</v>
      </c>
      <c r="F13" s="36" t="s">
        <v>10</v>
      </c>
      <c r="G13" s="219" t="s">
        <v>23</v>
      </c>
      <c r="H13" s="219"/>
      <c r="I13" s="219"/>
      <c r="J13" s="219"/>
      <c r="K13" s="219"/>
      <c r="L13" s="219"/>
      <c r="M13" s="212"/>
    </row>
    <row r="14" spans="1:13" ht="15">
      <c r="A14" s="16"/>
      <c r="B14" s="113" t="s">
        <v>29</v>
      </c>
      <c r="C14" s="107">
        <f>'Data Entry'!C15</f>
        <v>30</v>
      </c>
      <c r="D14" s="18"/>
      <c r="E14" s="39" t="s">
        <v>11</v>
      </c>
      <c r="F14" s="40" t="s">
        <v>12</v>
      </c>
      <c r="G14" s="111">
        <f>'Data Entry'!$F$15/(G$10/(('Data Entry'!$C$9/100)*2200))</f>
        <v>4.6000000000000005</v>
      </c>
      <c r="H14" s="111">
        <f>'Data Entry'!$F$15/(H$10/(('Data Entry'!$C$9/100)*2200))</f>
        <v>4.216666666666667</v>
      </c>
      <c r="I14" s="111">
        <f>'Data Entry'!$F$15/(I$10/(('Data Entry'!$C$9/100)*2200))</f>
        <v>3.8923076923076927</v>
      </c>
      <c r="J14" s="111">
        <f>'Data Entry'!$F$15/(J$10/(('Data Entry'!$C$9/100)*2200))</f>
        <v>3.6142857142857143</v>
      </c>
      <c r="K14" s="111">
        <f>'Data Entry'!$F$15/(K$10/(('Data Entry'!$C$9/100)*2200))</f>
        <v>3.373333333333333</v>
      </c>
      <c r="L14" s="111">
        <f>'Data Entry'!$F$15/(L$10/(('Data Entry'!$C$9/100)*2200))</f>
        <v>3.1625</v>
      </c>
      <c r="M14" s="112">
        <f>'Data Entry'!$F$15/(M$10/(('Data Entry'!$C$9/100)*2200))</f>
        <v>2.976470588235294</v>
      </c>
    </row>
    <row r="15" spans="1:13" ht="15">
      <c r="A15" s="16"/>
      <c r="B15" s="43" t="s">
        <v>30</v>
      </c>
      <c r="C15" s="46"/>
      <c r="D15" s="18"/>
      <c r="E15" s="190">
        <f>IF((E19-4*$C$10)&lt;0,0,(E19-4*$C$10))</f>
        <v>0</v>
      </c>
      <c r="F15" s="126">
        <f aca="true" t="shared" si="0" ref="F15:F23">IF(((-0.0032*(E15+$C$14)^2+0.6709*(E15+$C$14))-(-0.0032*($C$14)^2+0.6709*($C$14)))&lt;0,0,(-0.0032*(E15+$C$14)^2+0.6709*(E15+$C$14))-(-0.0032*($C$14)^2+0.6709*($C$14)))</f>
        <v>0</v>
      </c>
      <c r="G15" s="135">
        <f>('Data Entry'!$F$15*$F15)-(G$10/(('Data Entry'!$C$9/100)*2200))*($E15)</f>
        <v>0</v>
      </c>
      <c r="H15" s="135">
        <f>('Data Entry'!$F$15*$F15)-(H$10/(('Data Entry'!$C$9/100)*2200))*($E15)</f>
        <v>0</v>
      </c>
      <c r="I15" s="135">
        <f>('Data Entry'!$F$15*$F15)-(I$10/(('Data Entry'!$C$9/100)*2200))*($E15)</f>
        <v>0</v>
      </c>
      <c r="J15" s="135">
        <f>('Data Entry'!$F$15*$F15)-(J$10/(('Data Entry'!$C$9/100)*2200))*($E15)</f>
        <v>0</v>
      </c>
      <c r="K15" s="135">
        <f>('Data Entry'!$F$15*$F15)-(K$10/(('Data Entry'!$C$9/100)*2200))*($E15)</f>
        <v>0</v>
      </c>
      <c r="L15" s="135">
        <f>('Data Entry'!$F$15*$F15)-(L$10/(('Data Entry'!$C$9/100)*2200))*($E15)</f>
        <v>0</v>
      </c>
      <c r="M15" s="136">
        <f>('Data Entry'!$F$15*$F15)-(M$10/(('Data Entry'!$C$9/100)*2200))*($E15)</f>
        <v>0</v>
      </c>
    </row>
    <row r="16" spans="1:13" ht="15">
      <c r="A16" s="16"/>
      <c r="B16" s="54"/>
      <c r="D16" s="18"/>
      <c r="E16" s="190">
        <f>IF((E20-4*$C$10)&lt;0,0,(E20-4*$C$10))</f>
        <v>10</v>
      </c>
      <c r="F16" s="126">
        <f t="shared" si="0"/>
        <v>4.468999999999998</v>
      </c>
      <c r="G16" s="135">
        <f>('Data Entry'!$F$15*$F16)-(G$10/(('Data Entry'!$C$9/100)*2200))*($E16)</f>
        <v>5.737717391304342</v>
      </c>
      <c r="H16" s="135">
        <f>('Data Entry'!$F$15*$F16)-(H$10/(('Data Entry'!$C$9/100)*2200))*($E16)</f>
        <v>5.243646245059282</v>
      </c>
      <c r="I16" s="135">
        <f>('Data Entry'!$F$15*$F16)-(I$10/(('Data Entry'!$C$9/100)*2200))*($E16)</f>
        <v>4.749575098814224</v>
      </c>
      <c r="J16" s="135">
        <f>('Data Entry'!$F$15*$F16)-(J$10/(('Data Entry'!$C$9/100)*2200))*($E16)</f>
        <v>4.255503952569164</v>
      </c>
      <c r="K16" s="135">
        <f>('Data Entry'!$F$15*$F16)-(K$10/(('Data Entry'!$C$9/100)*2200))*($E16)</f>
        <v>3.7614328063241045</v>
      </c>
      <c r="L16" s="135">
        <f>('Data Entry'!$F$15*$F16)-(L$10/(('Data Entry'!$C$9/100)*2200))*($E16)</f>
        <v>3.267361660079046</v>
      </c>
      <c r="M16" s="136">
        <f>('Data Entry'!$F$15*$F16)-(M$10/(('Data Entry'!$C$9/100)*2200))*($E16)</f>
        <v>2.7732905138339863</v>
      </c>
    </row>
    <row r="17" spans="1:13" ht="15">
      <c r="A17" s="16"/>
      <c r="B17" s="54"/>
      <c r="D17" s="18"/>
      <c r="E17" s="190">
        <f>IF((E21-4*$C$10)&lt;0,0,(E21-4*$C$10))</f>
        <v>20</v>
      </c>
      <c r="F17" s="126">
        <f t="shared" si="0"/>
        <v>8.297999999999998</v>
      </c>
      <c r="G17" s="135">
        <f>('Data Entry'!$F$15*$F17)-(G$10/(('Data Entry'!$C$9/100)*2200))*($E17)</f>
        <v>9.875434782608693</v>
      </c>
      <c r="H17" s="135">
        <f>('Data Entry'!$F$15*$F17)-(H$10/(('Data Entry'!$C$9/100)*2200))*($E17)</f>
        <v>8.887292490118574</v>
      </c>
      <c r="I17" s="135">
        <f>('Data Entry'!$F$15*$F17)-(I$10/(('Data Entry'!$C$9/100)*2200))*($E17)</f>
        <v>7.899150197628456</v>
      </c>
      <c r="J17" s="135">
        <f>('Data Entry'!$F$15*$F17)-(J$10/(('Data Entry'!$C$9/100)*2200))*($E17)</f>
        <v>6.911007905138337</v>
      </c>
      <c r="K17" s="135">
        <f>('Data Entry'!$F$15*$F17)-(K$10/(('Data Entry'!$C$9/100)*2200))*($E17)</f>
        <v>5.922865612648218</v>
      </c>
      <c r="L17" s="135">
        <f>('Data Entry'!$F$15*$F17)-(L$10/(('Data Entry'!$C$9/100)*2200))*($E17)</f>
        <v>4.934723320158101</v>
      </c>
      <c r="M17" s="136">
        <f>('Data Entry'!$F$15*$F17)-(M$10/(('Data Entry'!$C$9/100)*2200))*($E17)</f>
        <v>3.946581027667982</v>
      </c>
    </row>
    <row r="18" spans="1:13" ht="15.75" thickBot="1">
      <c r="A18" s="16"/>
      <c r="B18" s="17"/>
      <c r="C18" s="18"/>
      <c r="D18" s="18"/>
      <c r="E18" s="193">
        <f>IF((E22-4*$C$10)&lt;0,0,(E22-4*$C$10))</f>
        <v>30</v>
      </c>
      <c r="F18" s="126">
        <f t="shared" si="0"/>
        <v>11.486999999999998</v>
      </c>
      <c r="G18" s="135">
        <f>('Data Entry'!$F$15*$F18)-(G$10/(('Data Entry'!$C$9/100)*2200))*($E18)</f>
        <v>12.413152173913037</v>
      </c>
      <c r="H18" s="135">
        <f>('Data Entry'!$F$15*$F18)-(H$10/(('Data Entry'!$C$9/100)*2200))*($E18)</f>
        <v>10.930938735177858</v>
      </c>
      <c r="I18" s="135">
        <f>('Data Entry'!$F$15*$F18)-(I$10/(('Data Entry'!$C$9/100)*2200))*($E18)</f>
        <v>9.448725296442682</v>
      </c>
      <c r="J18" s="135">
        <f>('Data Entry'!$F$15*$F18)-(J$10/(('Data Entry'!$C$9/100)*2200))*($E18)</f>
        <v>7.966511857707502</v>
      </c>
      <c r="K18" s="135">
        <f>('Data Entry'!$F$15*$F18)-(K$10/(('Data Entry'!$C$9/100)*2200))*($E18)</f>
        <v>6.484298418972326</v>
      </c>
      <c r="L18" s="135">
        <f>('Data Entry'!$F$15*$F18)-(L$10/(('Data Entry'!$C$9/100)*2200))*($E18)</f>
        <v>5.00208498023715</v>
      </c>
      <c r="M18" s="136">
        <f>('Data Entry'!$F$15*$F18)-(M$10/(('Data Entry'!$C$9/100)*2200))*($E18)</f>
        <v>3.5198715415019706</v>
      </c>
    </row>
    <row r="19" spans="1:13" ht="15.75" thickBot="1">
      <c r="A19" s="16"/>
      <c r="B19" s="54"/>
      <c r="C19" s="48"/>
      <c r="D19" s="49" t="s">
        <v>13</v>
      </c>
      <c r="E19" s="50">
        <f>'Data Entry'!H10</f>
        <v>40</v>
      </c>
      <c r="F19" s="192">
        <f t="shared" si="0"/>
        <v>14.035999999999998</v>
      </c>
      <c r="G19" s="135">
        <f>('Data Entry'!$F$15*$F19)-(G$10/(('Data Entry'!$C$9/100)*2200))*($E19)</f>
        <v>13.350869565217387</v>
      </c>
      <c r="H19" s="135">
        <f>('Data Entry'!$F$15*$F19)-(H$10/(('Data Entry'!$C$9/100)*2200))*($E19)</f>
        <v>11.374584980237149</v>
      </c>
      <c r="I19" s="135">
        <f>('Data Entry'!$F$15*$F19)-(I$10/(('Data Entry'!$C$9/100)*2200))*($E19)</f>
        <v>9.398300395256914</v>
      </c>
      <c r="J19" s="135">
        <f>('Data Entry'!$F$15*$F19)-(J$10/(('Data Entry'!$C$9/100)*2200))*($E19)</f>
        <v>7.422015810276676</v>
      </c>
      <c r="K19" s="135">
        <f>('Data Entry'!$F$15*$F19)-(K$10/(('Data Entry'!$C$9/100)*2200))*($E19)</f>
        <v>5.445731225296438</v>
      </c>
      <c r="L19" s="135">
        <f>('Data Entry'!$F$15*$F19)-(L$10/(('Data Entry'!$C$9/100)*2200))*($E19)</f>
        <v>3.469446640316203</v>
      </c>
      <c r="M19" s="136">
        <f>('Data Entry'!$F$15*$F19)-(M$10/(('Data Entry'!$C$9/100)*2200))*($E19)</f>
        <v>1.493162055335965</v>
      </c>
    </row>
    <row r="20" spans="1:13" ht="15">
      <c r="A20" s="16"/>
      <c r="B20" s="17"/>
      <c r="C20" s="18"/>
      <c r="D20" s="18"/>
      <c r="E20" s="194">
        <f>E19+C10</f>
        <v>50</v>
      </c>
      <c r="F20" s="126">
        <f t="shared" si="0"/>
        <v>15.945000000000004</v>
      </c>
      <c r="G20" s="135">
        <f>('Data Entry'!$F$15*$F20)-(G$10/(('Data Entry'!$C$9/100)*2200))*($E20)</f>
        <v>12.688586956521753</v>
      </c>
      <c r="H20" s="135">
        <f>('Data Entry'!$F$15*$F20)-(H$10/(('Data Entry'!$C$9/100)*2200))*($E20)</f>
        <v>10.218231225296453</v>
      </c>
      <c r="I20" s="135">
        <f>('Data Entry'!$F$15*$F20)-(I$10/(('Data Entry'!$C$9/100)*2200))*($E20)</f>
        <v>7.74787549407116</v>
      </c>
      <c r="J20" s="135">
        <f>('Data Entry'!$F$15*$F20)-(J$10/(('Data Entry'!$C$9/100)*2200))*($E20)</f>
        <v>5.277519762845863</v>
      </c>
      <c r="K20" s="135">
        <f>('Data Entry'!$F$15*$F20)-(K$10/(('Data Entry'!$C$9/100)*2200))*($E20)</f>
        <v>2.807164031620559</v>
      </c>
      <c r="L20" s="135">
        <f>('Data Entry'!$F$15*$F20)-(L$10/(('Data Entry'!$C$9/100)*2200))*($E20)</f>
        <v>0.3368083003952691</v>
      </c>
      <c r="M20" s="136">
        <f>('Data Entry'!$F$15*$F20)-(M$10/(('Data Entry'!$C$9/100)*2200))*($E20)</f>
        <v>-2.1335474308300277</v>
      </c>
    </row>
    <row r="21" spans="1:13" ht="15">
      <c r="A21" s="16"/>
      <c r="B21" s="17"/>
      <c r="C21" s="18"/>
      <c r="D21" s="18"/>
      <c r="E21" s="190">
        <f>E19+2*C10</f>
        <v>60</v>
      </c>
      <c r="F21" s="126">
        <f t="shared" si="0"/>
        <v>17.214000000000002</v>
      </c>
      <c r="G21" s="135">
        <f>('Data Entry'!$F$15*$F21)-(G$10/(('Data Entry'!$C$9/100)*2200))*($E21)</f>
        <v>10.42630434782609</v>
      </c>
      <c r="H21" s="135">
        <f>('Data Entry'!$F$15*$F21)-(H$10/(('Data Entry'!$C$9/100)*2200))*($E21)</f>
        <v>7.461877470355731</v>
      </c>
      <c r="I21" s="135">
        <f>('Data Entry'!$F$15*$F21)-(I$10/(('Data Entry'!$C$9/100)*2200))*($E21)</f>
        <v>4.497450592885379</v>
      </c>
      <c r="J21" s="135">
        <f>('Data Entry'!$F$15*$F21)-(J$10/(('Data Entry'!$C$9/100)*2200))*($E21)</f>
        <v>1.5330237154150197</v>
      </c>
      <c r="K21" s="135">
        <f>('Data Entry'!$F$15*$F21)-(K$10/(('Data Entry'!$C$9/100)*2200))*($E21)</f>
        <v>-1.4314031620553322</v>
      </c>
      <c r="L21" s="135">
        <f>('Data Entry'!$F$15*$F21)-(L$10/(('Data Entry'!$C$9/100)*2200))*($E21)</f>
        <v>-4.395830039525684</v>
      </c>
      <c r="M21" s="136">
        <f>('Data Entry'!$F$15*$F21)-(M$10/(('Data Entry'!$C$9/100)*2200))*($E21)</f>
        <v>-7.360256916996043</v>
      </c>
    </row>
    <row r="22" spans="1:13" ht="15">
      <c r="A22" s="16"/>
      <c r="B22" s="17"/>
      <c r="C22" s="18"/>
      <c r="D22" s="18"/>
      <c r="E22" s="190">
        <f>E19+3*C10</f>
        <v>70</v>
      </c>
      <c r="F22" s="126">
        <f t="shared" si="0"/>
        <v>17.843</v>
      </c>
      <c r="G22" s="135">
        <f>('Data Entry'!$F$15*$F22)-(G$10/(('Data Entry'!$C$9/100)*2200))*($E22)</f>
        <v>6.564021739130439</v>
      </c>
      <c r="H22" s="135">
        <f>('Data Entry'!$F$15*$F22)-(H$10/(('Data Entry'!$C$9/100)*2200))*($E22)</f>
        <v>3.1055237154150177</v>
      </c>
      <c r="I22" s="135">
        <f>('Data Entry'!$F$15*$F22)-(I$10/(('Data Entry'!$C$9/100)*2200))*($E22)</f>
        <v>-0.35297430830038934</v>
      </c>
      <c r="J22" s="135">
        <f>('Data Entry'!$F$15*$F22)-(J$10/(('Data Entry'!$C$9/100)*2200))*($E22)</f>
        <v>-3.8114723320158106</v>
      </c>
      <c r="K22" s="135">
        <f>('Data Entry'!$F$15*$F22)-(K$10/(('Data Entry'!$C$9/100)*2200))*($E22)</f>
        <v>-7.269970355731225</v>
      </c>
      <c r="L22" s="135">
        <f>('Data Entry'!$F$15*$F22)-(L$10/(('Data Entry'!$C$9/100)*2200))*($E22)</f>
        <v>-10.728468379446639</v>
      </c>
      <c r="M22" s="136">
        <f>('Data Entry'!$F$15*$F22)-(M$10/(('Data Entry'!$C$9/100)*2200))*($E22)</f>
        <v>-14.186966403162053</v>
      </c>
    </row>
    <row r="23" spans="1:13" ht="15">
      <c r="A23" s="16"/>
      <c r="B23" s="17"/>
      <c r="C23" s="18"/>
      <c r="D23" s="18"/>
      <c r="E23" s="190">
        <f>E19+4*C10</f>
        <v>80</v>
      </c>
      <c r="F23" s="126">
        <f t="shared" si="0"/>
        <v>17.832000000000004</v>
      </c>
      <c r="G23" s="135">
        <f>('Data Entry'!$F$15*$F23)-(G$10/(('Data Entry'!$C$9/100)*2200))*($E23)</f>
        <v>1.1017391304347939</v>
      </c>
      <c r="H23" s="135">
        <f>('Data Entry'!$F$15*$F23)-(H$10/(('Data Entry'!$C$9/100)*2200))*($E23)</f>
        <v>-2.8508300395256825</v>
      </c>
      <c r="I23" s="135">
        <f>('Data Entry'!$F$15*$F23)-(I$10/(('Data Entry'!$C$9/100)*2200))*($E23)</f>
        <v>-6.803399209486152</v>
      </c>
      <c r="J23" s="135">
        <f>('Data Entry'!$F$15*$F23)-(J$10/(('Data Entry'!$C$9/100)*2200))*($E23)</f>
        <v>-10.755968379446628</v>
      </c>
      <c r="K23" s="135">
        <f>('Data Entry'!$F$15*$F23)-(K$10/(('Data Entry'!$C$9/100)*2200))*($E23)</f>
        <v>-14.708537549407104</v>
      </c>
      <c r="L23" s="135">
        <f>('Data Entry'!$F$15*$F23)-(L$10/(('Data Entry'!$C$9/100)*2200))*($E23)</f>
        <v>-18.661106719367574</v>
      </c>
      <c r="M23" s="136">
        <f>('Data Entry'!$F$15*$F23)-(M$10/(('Data Entry'!$C$9/100)*2200))*($E23)</f>
        <v>-22.61367588932805</v>
      </c>
    </row>
    <row r="24" spans="1:13" ht="13.5" customHeight="1">
      <c r="A24" s="16"/>
      <c r="B24" s="17"/>
      <c r="C24" s="18"/>
      <c r="D24" s="18"/>
      <c r="E24" s="263" t="s">
        <v>55</v>
      </c>
      <c r="F24" s="264"/>
      <c r="G24" s="277"/>
      <c r="H24" s="277"/>
      <c r="I24" s="277"/>
      <c r="J24" s="277"/>
      <c r="K24" s="277"/>
      <c r="L24" s="277"/>
      <c r="M24" s="278"/>
    </row>
    <row r="25" spans="1:13" ht="9.75" customHeight="1">
      <c r="A25" s="16"/>
      <c r="B25" s="17"/>
      <c r="C25" s="18"/>
      <c r="D25" s="18"/>
      <c r="E25" s="263" t="s">
        <v>16</v>
      </c>
      <c r="F25" s="264"/>
      <c r="G25" s="264"/>
      <c r="H25" s="264"/>
      <c r="I25" s="264"/>
      <c r="J25" s="264"/>
      <c r="K25" s="264"/>
      <c r="L25" s="264"/>
      <c r="M25" s="265"/>
    </row>
    <row r="26" spans="1:13" ht="9.75" customHeight="1">
      <c r="A26" s="16"/>
      <c r="B26" s="17"/>
      <c r="C26" s="18"/>
      <c r="D26" s="18"/>
      <c r="E26" s="263" t="s">
        <v>24</v>
      </c>
      <c r="F26" s="264"/>
      <c r="G26" s="264"/>
      <c r="H26" s="264"/>
      <c r="I26" s="264"/>
      <c r="J26" s="264"/>
      <c r="K26" s="264"/>
      <c r="L26" s="264"/>
      <c r="M26" s="265"/>
    </row>
    <row r="27" spans="1:19" ht="11.25" customHeight="1">
      <c r="A27" s="16"/>
      <c r="B27" s="17"/>
      <c r="C27" s="18"/>
      <c r="D27" s="18"/>
      <c r="E27" s="249" t="s">
        <v>87</v>
      </c>
      <c r="F27" s="284"/>
      <c r="G27" s="284"/>
      <c r="H27" s="284"/>
      <c r="I27" s="284"/>
      <c r="J27" s="284"/>
      <c r="K27" s="284"/>
      <c r="L27" s="284"/>
      <c r="M27" s="262"/>
      <c r="N27" s="130"/>
      <c r="O27"/>
      <c r="P27"/>
      <c r="Q27"/>
      <c r="R27"/>
      <c r="S27"/>
    </row>
    <row r="28" spans="1:13" ht="12" customHeight="1" thickBot="1">
      <c r="A28" s="16"/>
      <c r="B28" s="17"/>
      <c r="C28" s="18"/>
      <c r="D28" s="18"/>
      <c r="E28" s="269" t="s">
        <v>38</v>
      </c>
      <c r="F28" s="271"/>
      <c r="G28" s="271"/>
      <c r="H28" s="271"/>
      <c r="I28" s="271"/>
      <c r="J28" s="272"/>
      <c r="K28" s="272"/>
      <c r="L28" s="272"/>
      <c r="M28" s="273"/>
    </row>
    <row r="29" spans="1:13" ht="10.5" customHeight="1">
      <c r="A29" s="16"/>
      <c r="B29" s="17"/>
      <c r="C29" s="18"/>
      <c r="D29" s="18"/>
      <c r="E29" s="53"/>
      <c r="F29" s="53"/>
      <c r="G29" s="53"/>
      <c r="H29" s="53"/>
      <c r="I29" s="53"/>
      <c r="J29" s="12"/>
      <c r="K29" s="12"/>
      <c r="L29" s="12"/>
      <c r="M29" s="15"/>
    </row>
    <row r="30" spans="2:13" ht="10.5" customHeight="1" thickBot="1">
      <c r="B30" s="215"/>
      <c r="C30" s="216"/>
      <c r="D30" s="216"/>
      <c r="E30" s="216"/>
      <c r="F30" s="216"/>
      <c r="G30" s="216"/>
      <c r="H30" s="216"/>
      <c r="I30" s="216"/>
      <c r="J30" s="55"/>
      <c r="K30" s="55"/>
      <c r="L30" s="55"/>
      <c r="M30" s="56"/>
    </row>
  </sheetData>
  <sheetProtection password="CE5A" sheet="1" objects="1" scenarios="1"/>
  <mergeCells count="15">
    <mergeCell ref="E24:M24"/>
    <mergeCell ref="E27:M27"/>
    <mergeCell ref="E28:M28"/>
    <mergeCell ref="B30:I30"/>
    <mergeCell ref="E25:M25"/>
    <mergeCell ref="E26:M26"/>
    <mergeCell ref="H8:L8"/>
    <mergeCell ref="G12:M12"/>
    <mergeCell ref="G13:M13"/>
    <mergeCell ref="B2:M2"/>
    <mergeCell ref="B3:M3"/>
    <mergeCell ref="B7:C7"/>
    <mergeCell ref="K5:M5"/>
    <mergeCell ref="G5:J5"/>
    <mergeCell ref="D5:F5"/>
  </mergeCells>
  <conditionalFormatting sqref="I15:I23">
    <cfRule type="cellIs" priority="1" dxfId="0" operator="between" stopIfTrue="1">
      <formula>MAX($I$15:$I$23)-0.5</formula>
      <formula>MAX($I$15:$I$23)+0.5</formula>
    </cfRule>
    <cfRule type="cellIs" priority="2" dxfId="1" operator="between" stopIfTrue="1">
      <formula>MAX($I$15:$I$23)-0.5</formula>
      <formula>MAX($I$15:$I$23)-1.5</formula>
    </cfRule>
    <cfRule type="cellIs" priority="3" dxfId="1" operator="between" stopIfTrue="1">
      <formula>MAX($I$15:$I$23)+0.5</formula>
      <formula>MAX($I$15:$I$23)+1.5</formula>
    </cfRule>
  </conditionalFormatting>
  <conditionalFormatting sqref="J15:J23">
    <cfRule type="cellIs" priority="4" dxfId="0" operator="between" stopIfTrue="1">
      <formula>MAX($J$15:$J$23)-0.5</formula>
      <formula>MAX($J$15:$J$23)+0.5</formula>
    </cfRule>
    <cfRule type="cellIs" priority="5" dxfId="1" operator="between" stopIfTrue="1">
      <formula>MAX($J$15:$J$23)-0.5</formula>
      <formula>MAX($J$15:$J$23)-1.5</formula>
    </cfRule>
    <cfRule type="cellIs" priority="6" dxfId="1" operator="between" stopIfTrue="1">
      <formula>MAX($J$15:$J$23)+0.5</formula>
      <formula>MAX($J$15:$J$23)+1.5</formula>
    </cfRule>
  </conditionalFormatting>
  <conditionalFormatting sqref="K15:K23">
    <cfRule type="cellIs" priority="7" dxfId="0" operator="between" stopIfTrue="1">
      <formula>MAX($K$15:$K$23)-0.5</formula>
      <formula>MAX($K$15:$K$23)+0.5</formula>
    </cfRule>
    <cfRule type="cellIs" priority="8" dxfId="1" operator="between" stopIfTrue="1">
      <formula>MAX($K$15:$K$23)-0.5</formula>
      <formula>MAX($K$15:$K$23)-1.5</formula>
    </cfRule>
    <cfRule type="cellIs" priority="9" dxfId="1" operator="between" stopIfTrue="1">
      <formula>MAX($K$15:$K$23)+0.5</formula>
      <formula>MAX($K$15:$K$23)+1.5</formula>
    </cfRule>
  </conditionalFormatting>
  <conditionalFormatting sqref="G15:G23">
    <cfRule type="cellIs" priority="10" dxfId="0" operator="between" stopIfTrue="1">
      <formula>MAX($G$15:$G$23)-0.5</formula>
      <formula>MAX($G$15:$G$23)+0.5</formula>
    </cfRule>
    <cfRule type="cellIs" priority="11" dxfId="1" operator="between" stopIfTrue="1">
      <formula>MAX($G$15:$G$23)-0.5</formula>
      <formula>MAX($G$15:$G$23)-1.5</formula>
    </cfRule>
    <cfRule type="cellIs" priority="12" dxfId="1" operator="between" stopIfTrue="1">
      <formula>MAX($G$15:$G$23)+0.5</formula>
      <formula>MAX($G$15:$G$23)+1.5</formula>
    </cfRule>
  </conditionalFormatting>
  <conditionalFormatting sqref="H15:H23">
    <cfRule type="cellIs" priority="13" dxfId="0" operator="between" stopIfTrue="1">
      <formula>MAX($H$15:$H$23)-0.5</formula>
      <formula>MAX($H$15:$H$23)+0.5</formula>
    </cfRule>
    <cfRule type="cellIs" priority="14" dxfId="1" operator="between" stopIfTrue="1">
      <formula>MAX($H$15:$H$23)-0.5</formula>
      <formula>MAX($H$15:$H$23)-1.5</formula>
    </cfRule>
    <cfRule type="cellIs" priority="15" dxfId="1" operator="between" stopIfTrue="1">
      <formula>MAX($H$15:$H$23)+0.5</formula>
      <formula>MAX($H$15:$HG$23)+1.5</formula>
    </cfRule>
  </conditionalFormatting>
  <conditionalFormatting sqref="L15:L23">
    <cfRule type="cellIs" priority="16" dxfId="0" operator="between" stopIfTrue="1">
      <formula>MAX($L$15:$L$23)-0.5</formula>
      <formula>MAX($L$15:$L$23)+0.5</formula>
    </cfRule>
    <cfRule type="cellIs" priority="17" dxfId="1" operator="between" stopIfTrue="1">
      <formula>MAX($L$15:$L$23)-0.5</formula>
      <formula>MAX($L$15:$L$23)-1.5</formula>
    </cfRule>
    <cfRule type="cellIs" priority="18" dxfId="1" operator="between" stopIfTrue="1">
      <formula>MAX($L$15:$L$23)+0.5</formula>
      <formula>MAX($L$15:$L$23)+1.5</formula>
    </cfRule>
  </conditionalFormatting>
  <conditionalFormatting sqref="M15:M23">
    <cfRule type="cellIs" priority="19" dxfId="0" operator="between" stopIfTrue="1">
      <formula>MAX($M$15:$M$23)-0.5</formula>
      <formula>MAX($M$15:$M$23)+0.5</formula>
    </cfRule>
    <cfRule type="cellIs" priority="20" dxfId="1" operator="between" stopIfTrue="1">
      <formula>MAX($M$15:$M$23)-0.5</formula>
      <formula>MAX($M$15:$M$23)-1.5</formula>
    </cfRule>
    <cfRule type="cellIs" priority="21" dxfId="1" operator="between" stopIfTrue="1">
      <formula>MAX($M$15:$M$23)+0.5</formula>
      <formula>MAX($M$15:$M$23)+1.5</formula>
    </cfRule>
  </conditionalFormatting>
  <hyperlinks>
    <hyperlink ref="D5" location="'Barley (Arid) Crop'!A1" display="Return to Barley (Arid) as variable"/>
    <hyperlink ref="G5" location="'Barley (Arid) MR'!A1" display="Go to Marginal Return Chart"/>
    <hyperlink ref="K5" location="'Data Entry'!A1" display="Return to Data Entry"/>
  </hyperlink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30"/>
  <sheetViews>
    <sheetView showGridLines="0" workbookViewId="0" topLeftCell="A1">
      <selection activeCell="E19" sqref="E19"/>
    </sheetView>
  </sheetViews>
  <sheetFormatPr defaultColWidth="9.140625" defaultRowHeight="12.75"/>
  <cols>
    <col min="1" max="1" width="1.57421875" style="10" customWidth="1"/>
    <col min="2" max="2" width="16.57421875" style="10" customWidth="1"/>
    <col min="3" max="5" width="9.140625" style="10" customWidth="1"/>
    <col min="6" max="6" width="14.57421875" style="10" customWidth="1"/>
    <col min="7" max="13" width="9.140625" style="10" customWidth="1"/>
    <col min="14" max="14" width="27.00390625" style="10" customWidth="1"/>
    <col min="15" max="16384" width="9.140625" style="10" customWidth="1"/>
  </cols>
  <sheetData>
    <row r="1" spans="2:9" ht="6" customHeight="1" thickBot="1">
      <c r="B1" s="11"/>
      <c r="C1" s="11"/>
      <c r="D1" s="11"/>
      <c r="E1" s="11"/>
      <c r="F1" s="11"/>
      <c r="G1" s="11"/>
      <c r="H1" s="11"/>
      <c r="I1" s="11"/>
    </row>
    <row r="2" spans="1:13" ht="20.25">
      <c r="A2" s="11"/>
      <c r="B2" s="254" t="s">
        <v>40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6"/>
    </row>
    <row r="3" spans="1:13" ht="20.25">
      <c r="A3" s="11"/>
      <c r="B3" s="257" t="s">
        <v>65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9"/>
    </row>
    <row r="4" spans="1:14" ht="6.75" customHeight="1">
      <c r="A4" s="11"/>
      <c r="B4" s="13"/>
      <c r="C4" s="14"/>
      <c r="D4" s="14"/>
      <c r="E4" s="14"/>
      <c r="F4" s="14"/>
      <c r="G4" s="14"/>
      <c r="H4" s="14"/>
      <c r="I4" s="14"/>
      <c r="J4" s="12"/>
      <c r="K4" s="12"/>
      <c r="L4" s="12"/>
      <c r="M4" s="15"/>
      <c r="N4" s="158"/>
    </row>
    <row r="5" spans="2:13" ht="12.75">
      <c r="B5" s="198"/>
      <c r="C5" s="199"/>
      <c r="D5" s="279" t="s">
        <v>98</v>
      </c>
      <c r="E5" s="280"/>
      <c r="F5" s="280"/>
      <c r="G5" s="279" t="s">
        <v>69</v>
      </c>
      <c r="H5" s="280"/>
      <c r="I5" s="280"/>
      <c r="J5" s="280"/>
      <c r="K5" s="261" t="s">
        <v>96</v>
      </c>
      <c r="L5" s="260"/>
      <c r="M5" s="262"/>
    </row>
    <row r="6" spans="1:14" ht="4.5" customHeight="1" thickBot="1">
      <c r="A6" s="16"/>
      <c r="B6" s="17"/>
      <c r="C6" s="18"/>
      <c r="D6" s="18"/>
      <c r="E6" s="18"/>
      <c r="F6" s="18"/>
      <c r="G6" s="18"/>
      <c r="H6" s="18"/>
      <c r="I6" s="18"/>
      <c r="J6" s="12"/>
      <c r="K6" s="12"/>
      <c r="L6" s="12"/>
      <c r="M6" s="15"/>
      <c r="N6" s="158"/>
    </row>
    <row r="7" spans="1:13" ht="15.75" customHeight="1" thickBot="1">
      <c r="A7" s="16"/>
      <c r="B7" s="234" t="s">
        <v>61</v>
      </c>
      <c r="C7" s="235"/>
      <c r="D7" s="18"/>
      <c r="E7" s="18"/>
      <c r="F7" s="18"/>
      <c r="G7" s="18"/>
      <c r="H7" s="19"/>
      <c r="I7" s="18"/>
      <c r="J7" s="19"/>
      <c r="K7" s="12"/>
      <c r="L7" s="12"/>
      <c r="M7" s="15"/>
    </row>
    <row r="8" spans="1:13" ht="15" customHeight="1">
      <c r="A8" s="16"/>
      <c r="B8" s="87" t="s">
        <v>58</v>
      </c>
      <c r="C8" s="21" t="s">
        <v>64</v>
      </c>
      <c r="D8" s="18"/>
      <c r="E8" s="22"/>
      <c r="F8" s="23"/>
      <c r="G8" s="23"/>
      <c r="H8" s="236" t="s">
        <v>63</v>
      </c>
      <c r="I8" s="237"/>
      <c r="J8" s="237"/>
      <c r="K8" s="237"/>
      <c r="L8" s="237"/>
      <c r="M8" s="24"/>
    </row>
    <row r="9" spans="1:13" ht="15">
      <c r="A9" s="16"/>
      <c r="B9" s="20" t="s">
        <v>60</v>
      </c>
      <c r="C9" s="83">
        <f>'Data Entry'!F16</f>
        <v>9</v>
      </c>
      <c r="D9" s="18"/>
      <c r="E9" s="17"/>
      <c r="F9" s="18"/>
      <c r="G9" s="18"/>
      <c r="H9" s="19"/>
      <c r="I9" s="18"/>
      <c r="J9" s="19"/>
      <c r="K9" s="12"/>
      <c r="L9" s="12"/>
      <c r="M9" s="15"/>
    </row>
    <row r="10" spans="1:13" ht="15">
      <c r="A10" s="16"/>
      <c r="B10" s="30" t="s">
        <v>20</v>
      </c>
      <c r="C10" s="106">
        <f>'Data Entry'!C11</f>
        <v>10</v>
      </c>
      <c r="D10" s="18"/>
      <c r="E10" s="17"/>
      <c r="F10" s="18"/>
      <c r="G10" s="108">
        <f>H10-$C$12</f>
        <v>550</v>
      </c>
      <c r="H10" s="108">
        <f>I10-$C$12</f>
        <v>600</v>
      </c>
      <c r="I10" s="108">
        <f>J10-$C$12</f>
        <v>650</v>
      </c>
      <c r="J10" s="109">
        <f>'Data Entry'!C8</f>
        <v>700</v>
      </c>
      <c r="K10" s="108">
        <f>J10+$C$12</f>
        <v>750</v>
      </c>
      <c r="L10" s="108">
        <f>K10+$C$12</f>
        <v>800</v>
      </c>
      <c r="M10" s="110">
        <f>L10+$C$12</f>
        <v>850</v>
      </c>
    </row>
    <row r="11" spans="1:13" ht="15">
      <c r="A11" s="16"/>
      <c r="B11" s="33" t="s">
        <v>106</v>
      </c>
      <c r="C11" s="46"/>
      <c r="D11" s="18"/>
      <c r="E11" s="17"/>
      <c r="F11" s="29" t="s">
        <v>6</v>
      </c>
      <c r="G11" s="18"/>
      <c r="H11" s="18"/>
      <c r="I11" s="18"/>
      <c r="J11" s="12"/>
      <c r="K11" s="12"/>
      <c r="L11" s="12"/>
      <c r="M11" s="15"/>
    </row>
    <row r="12" spans="1:13" ht="15">
      <c r="A12" s="16"/>
      <c r="B12" s="37" t="s">
        <v>56</v>
      </c>
      <c r="C12" s="61">
        <f>'Data Entry'!C17</f>
        <v>50</v>
      </c>
      <c r="D12" s="18"/>
      <c r="E12" s="32"/>
      <c r="F12" s="29" t="s">
        <v>7</v>
      </c>
      <c r="G12" s="274" t="s">
        <v>8</v>
      </c>
      <c r="H12" s="274"/>
      <c r="I12" s="274"/>
      <c r="J12" s="274"/>
      <c r="K12" s="274"/>
      <c r="L12" s="274"/>
      <c r="M12" s="275"/>
    </row>
    <row r="13" spans="1:13" ht="15.75" thickBot="1">
      <c r="A13" s="16"/>
      <c r="B13" s="43" t="s">
        <v>28</v>
      </c>
      <c r="C13" s="46"/>
      <c r="D13" s="18"/>
      <c r="E13" s="35" t="s">
        <v>9</v>
      </c>
      <c r="F13" s="36" t="s">
        <v>10</v>
      </c>
      <c r="G13" s="219" t="s">
        <v>15</v>
      </c>
      <c r="H13" s="219"/>
      <c r="I13" s="219"/>
      <c r="J13" s="219"/>
      <c r="K13" s="219"/>
      <c r="L13" s="219"/>
      <c r="M13" s="212"/>
    </row>
    <row r="14" spans="1:13" ht="15">
      <c r="A14" s="16"/>
      <c r="B14" s="113" t="s">
        <v>29</v>
      </c>
      <c r="C14" s="107">
        <f>'Data Entry'!C15</f>
        <v>30</v>
      </c>
      <c r="D14" s="18"/>
      <c r="E14" s="39" t="s">
        <v>11</v>
      </c>
      <c r="F14" s="40" t="s">
        <v>12</v>
      </c>
      <c r="G14" s="111">
        <f>'Data Entry'!$F$16/(G$10/(('Data Entry'!$C$9/100)*2200))</f>
        <v>16.560000000000002</v>
      </c>
      <c r="H14" s="111">
        <f>'Data Entry'!$F$16/(H$10/(('Data Entry'!$C$9/100)*2200))</f>
        <v>15.18</v>
      </c>
      <c r="I14" s="111">
        <f>'Data Entry'!$F$16/(I$10/(('Data Entry'!$C$9/100)*2200))</f>
        <v>14.012307692307694</v>
      </c>
      <c r="J14" s="111">
        <f>'Data Entry'!$F$16/(J$10/(('Data Entry'!$C$9/100)*2200))</f>
        <v>13.01142857142857</v>
      </c>
      <c r="K14" s="111">
        <f>'Data Entry'!$F$16/(K$10/(('Data Entry'!$C$9/100)*2200))</f>
        <v>12.143999999999998</v>
      </c>
      <c r="L14" s="111">
        <f>'Data Entry'!$F$16/(L$10/(('Data Entry'!$C$9/100)*2200))</f>
        <v>11.385</v>
      </c>
      <c r="M14" s="112">
        <f>'Data Entry'!$F$16/(M$10/(('Data Entry'!$C$9/100)*2200))</f>
        <v>10.715294117647058</v>
      </c>
    </row>
    <row r="15" spans="1:13" ht="15">
      <c r="A15" s="16"/>
      <c r="B15" s="43" t="s">
        <v>30</v>
      </c>
      <c r="C15" s="46"/>
      <c r="D15" s="18"/>
      <c r="E15" s="190">
        <f>IF((E19-4*$C$10)&lt;0,0,(E19-4*$C$10))</f>
        <v>30</v>
      </c>
      <c r="F15" s="126">
        <f>IF(((-0.0009*(E15+$C$14)^2+0.2797*(E15+$C$14))-(-0.0009*($C$14)^2+0.2797*($C$14)))&lt;0,0,(-0.0009*(E15+$C$14)^2+0.2797*(E15+$C$14))-(-0.0009*($C$14)^2+0.2797*($C$14)))</f>
        <v>5.960999999999999</v>
      </c>
      <c r="G15" s="135">
        <f>('Data Entry'!$F$16*$F15)-(G$10/(('Data Entry'!$C$9/100)*2200))*($E15)</f>
        <v>37.34465217391303</v>
      </c>
      <c r="H15" s="135">
        <f>('Data Entry'!$F$16*$F15)-(H$10/(('Data Entry'!$C$9/100)*2200))*($E15)</f>
        <v>35.86243873517786</v>
      </c>
      <c r="I15" s="135">
        <f>('Data Entry'!$F$16*$F15)-(I$10/(('Data Entry'!$C$9/100)*2200))*($E15)</f>
        <v>34.38022529644268</v>
      </c>
      <c r="J15" s="135">
        <f>('Data Entry'!$F$16*$F15)-(J$10/(('Data Entry'!$C$9/100)*2200))*($E15)</f>
        <v>32.8980118577075</v>
      </c>
      <c r="K15" s="135">
        <f>('Data Entry'!$F$16*$F15)-(K$10/(('Data Entry'!$C$9/100)*2200))*($E15)</f>
        <v>31.415798418972326</v>
      </c>
      <c r="L15" s="135">
        <f>('Data Entry'!$F$16*$F15)-(L$10/(('Data Entry'!$C$9/100)*2200))*($E15)</f>
        <v>29.93358498023715</v>
      </c>
      <c r="M15" s="136">
        <f>('Data Entry'!$F$16*$F15)-(M$10/(('Data Entry'!$C$9/100)*2200))*($E15)</f>
        <v>28.45137154150197</v>
      </c>
    </row>
    <row r="16" spans="1:13" ht="15">
      <c r="A16" s="16"/>
      <c r="B16" s="54"/>
      <c r="D16" s="18"/>
      <c r="E16" s="190">
        <f>IF((E20-4*$C$10)&lt;0,0,(E20-4*$C$10))</f>
        <v>40</v>
      </c>
      <c r="F16" s="126">
        <f aca="true" t="shared" si="0" ref="F16:F23">IF(((-0.0009*(E16+$C$14)^2+0.2797*(E16+$C$14))-(-0.0009*($C$14)^2+0.2797*($C$14)))&lt;0,0,(-0.0009*(E16+$C$14)^2+0.2797*(E16+$C$14))-(-0.0009*($C$14)^2+0.2797*($C$14)))</f>
        <v>7.588</v>
      </c>
      <c r="G16" s="135">
        <f>('Data Entry'!$F$16*$F16)-(G$10/(('Data Entry'!$C$9/100)*2200))*($E16)</f>
        <v>46.55286956521739</v>
      </c>
      <c r="H16" s="135">
        <f>('Data Entry'!$F$16*$F16)-(H$10/(('Data Entry'!$C$9/100)*2200))*($E16)</f>
        <v>44.57658498023716</v>
      </c>
      <c r="I16" s="135">
        <f>('Data Entry'!$F$16*$F16)-(I$10/(('Data Entry'!$C$9/100)*2200))*($E16)</f>
        <v>42.60030039525692</v>
      </c>
      <c r="J16" s="135">
        <f>('Data Entry'!$F$16*$F16)-(J$10/(('Data Entry'!$C$9/100)*2200))*($E16)</f>
        <v>40.62401581027668</v>
      </c>
      <c r="K16" s="135">
        <f>('Data Entry'!$F$16*$F16)-(K$10/(('Data Entry'!$C$9/100)*2200))*($E16)</f>
        <v>38.64773122529644</v>
      </c>
      <c r="L16" s="135">
        <f>('Data Entry'!$F$16*$F16)-(L$10/(('Data Entry'!$C$9/100)*2200))*($E16)</f>
        <v>36.671446640316205</v>
      </c>
      <c r="M16" s="136">
        <f>('Data Entry'!$F$16*$F16)-(M$10/(('Data Entry'!$C$9/100)*2200))*($E16)</f>
        <v>34.69516205533597</v>
      </c>
    </row>
    <row r="17" spans="1:13" ht="15">
      <c r="A17" s="16"/>
      <c r="B17" s="54"/>
      <c r="D17" s="18"/>
      <c r="E17" s="190">
        <f>IF((E21-4*$C$10)&lt;0,0,(E21-4*$C$10))</f>
        <v>50</v>
      </c>
      <c r="F17" s="126">
        <f t="shared" si="0"/>
        <v>9.035</v>
      </c>
      <c r="G17" s="135">
        <f>('Data Entry'!$F$16*$F17)-(G$10/(('Data Entry'!$C$9/100)*2200))*($E17)</f>
        <v>54.14108695652174</v>
      </c>
      <c r="H17" s="135">
        <f>('Data Entry'!$F$16*$F17)-(H$10/(('Data Entry'!$C$9/100)*2200))*($E17)</f>
        <v>51.670731225296436</v>
      </c>
      <c r="I17" s="135">
        <f>('Data Entry'!$F$16*$F17)-(I$10/(('Data Entry'!$C$9/100)*2200))*($E17)</f>
        <v>49.200375494071146</v>
      </c>
      <c r="J17" s="135">
        <f>('Data Entry'!$F$16*$F17)-(J$10/(('Data Entry'!$C$9/100)*2200))*($E17)</f>
        <v>46.73001976284585</v>
      </c>
      <c r="K17" s="135">
        <f>('Data Entry'!$F$16*$F17)-(K$10/(('Data Entry'!$C$9/100)*2200))*($E17)</f>
        <v>44.259664031620545</v>
      </c>
      <c r="L17" s="135">
        <f>('Data Entry'!$F$16*$F17)-(L$10/(('Data Entry'!$C$9/100)*2200))*($E17)</f>
        <v>41.789308300395255</v>
      </c>
      <c r="M17" s="136">
        <f>('Data Entry'!$F$16*$F17)-(M$10/(('Data Entry'!$C$9/100)*2200))*($E17)</f>
        <v>39.31895256916996</v>
      </c>
    </row>
    <row r="18" spans="1:13" ht="15.75" thickBot="1">
      <c r="A18" s="16"/>
      <c r="B18" s="17"/>
      <c r="C18" s="18"/>
      <c r="D18" s="18"/>
      <c r="E18" s="193">
        <f>IF((E22-4*$C$10)&lt;0,0,(E22-4*$C$10))</f>
        <v>60</v>
      </c>
      <c r="F18" s="126">
        <f t="shared" si="0"/>
        <v>10.302000000000003</v>
      </c>
      <c r="G18" s="135">
        <f>('Data Entry'!$F$16*$F18)-(G$10/(('Data Entry'!$C$9/100)*2200))*($E18)</f>
        <v>60.10930434782612</v>
      </c>
      <c r="H18" s="135">
        <f>('Data Entry'!$F$16*$F18)-(H$10/(('Data Entry'!$C$9/100)*2200))*($E18)</f>
        <v>57.14487747035576</v>
      </c>
      <c r="I18" s="135">
        <f>('Data Entry'!$F$16*$F18)-(I$10/(('Data Entry'!$C$9/100)*2200))*($E18)</f>
        <v>54.18045059288541</v>
      </c>
      <c r="J18" s="135">
        <f>('Data Entry'!$F$16*$F18)-(J$10/(('Data Entry'!$C$9/100)*2200))*($E18)</f>
        <v>51.21602371541505</v>
      </c>
      <c r="K18" s="135">
        <f>('Data Entry'!$F$16*$F18)-(K$10/(('Data Entry'!$C$9/100)*2200))*($E18)</f>
        <v>48.251596837944696</v>
      </c>
      <c r="L18" s="135">
        <f>('Data Entry'!$F$16*$F18)-(L$10/(('Data Entry'!$C$9/100)*2200))*($E18)</f>
        <v>45.287169960474344</v>
      </c>
      <c r="M18" s="136">
        <f>('Data Entry'!$F$16*$F18)-(M$10/(('Data Entry'!$C$9/100)*2200))*($E18)</f>
        <v>42.322743083003985</v>
      </c>
    </row>
    <row r="19" spans="1:13" ht="15.75" thickBot="1">
      <c r="A19" s="16"/>
      <c r="B19" s="54"/>
      <c r="C19" s="48"/>
      <c r="D19" s="49" t="s">
        <v>13</v>
      </c>
      <c r="E19" s="50">
        <f>'Data Entry'!F11</f>
        <v>70</v>
      </c>
      <c r="F19" s="192">
        <f t="shared" si="0"/>
        <v>11.389</v>
      </c>
      <c r="G19" s="135">
        <f>('Data Entry'!$F$16*$F19)-(G$10/(('Data Entry'!$C$9/100)*2200))*($E19)</f>
        <v>64.45752173913043</v>
      </c>
      <c r="H19" s="135">
        <f>('Data Entry'!$F$16*$F19)-(H$10/(('Data Entry'!$C$9/100)*2200))*($E19)</f>
        <v>60.99902371541501</v>
      </c>
      <c r="I19" s="135">
        <f>('Data Entry'!$F$16*$F19)-(I$10/(('Data Entry'!$C$9/100)*2200))*($E19)</f>
        <v>57.5405256916996</v>
      </c>
      <c r="J19" s="135">
        <f>('Data Entry'!$F$16*$F19)-(J$10/(('Data Entry'!$C$9/100)*2200))*($E19)</f>
        <v>54.08202766798418</v>
      </c>
      <c r="K19" s="135">
        <f>('Data Entry'!$F$16*$F19)-(K$10/(('Data Entry'!$C$9/100)*2200))*($E19)</f>
        <v>50.623529644268764</v>
      </c>
      <c r="L19" s="135">
        <f>('Data Entry'!$F$16*$F19)-(L$10/(('Data Entry'!$C$9/100)*2200))*($E19)</f>
        <v>47.16503162055335</v>
      </c>
      <c r="M19" s="136">
        <f>('Data Entry'!$F$16*$F19)-(M$10/(('Data Entry'!$C$9/100)*2200))*($E19)</f>
        <v>43.706533596837936</v>
      </c>
    </row>
    <row r="20" spans="1:13" ht="15">
      <c r="A20" s="16"/>
      <c r="B20" s="17"/>
      <c r="C20" s="18"/>
      <c r="D20" s="18"/>
      <c r="E20" s="194">
        <f>E19+C10</f>
        <v>80</v>
      </c>
      <c r="F20" s="126">
        <f t="shared" si="0"/>
        <v>12.296</v>
      </c>
      <c r="G20" s="135">
        <f>('Data Entry'!$F$16*$F20)-(G$10/(('Data Entry'!$C$9/100)*2200))*($E20)</f>
        <v>67.18573913043477</v>
      </c>
      <c r="H20" s="135">
        <f>('Data Entry'!$F$16*$F20)-(H$10/(('Data Entry'!$C$9/100)*2200))*($E20)</f>
        <v>63.23316996047429</v>
      </c>
      <c r="I20" s="135">
        <f>('Data Entry'!$F$16*$F20)-(I$10/(('Data Entry'!$C$9/100)*2200))*($E20)</f>
        <v>59.28060079051382</v>
      </c>
      <c r="J20" s="135">
        <f>('Data Entry'!$F$16*$F20)-(J$10/(('Data Entry'!$C$9/100)*2200))*($E20)</f>
        <v>55.32803162055335</v>
      </c>
      <c r="K20" s="135">
        <f>('Data Entry'!$F$16*$F20)-(K$10/(('Data Entry'!$C$9/100)*2200))*($E20)</f>
        <v>51.37546245059287</v>
      </c>
      <c r="L20" s="135">
        <f>('Data Entry'!$F$16*$F20)-(L$10/(('Data Entry'!$C$9/100)*2200))*($E20)</f>
        <v>47.4228932806324</v>
      </c>
      <c r="M20" s="136">
        <f>('Data Entry'!$F$16*$F20)-(M$10/(('Data Entry'!$C$9/100)*2200))*($E20)</f>
        <v>43.470324110671925</v>
      </c>
    </row>
    <row r="21" spans="1:13" ht="15">
      <c r="A21" s="16"/>
      <c r="B21" s="17"/>
      <c r="C21" s="18"/>
      <c r="D21" s="18"/>
      <c r="E21" s="190">
        <f>E19+2*C10</f>
        <v>90</v>
      </c>
      <c r="F21" s="126">
        <f t="shared" si="0"/>
        <v>13.023</v>
      </c>
      <c r="G21" s="135">
        <f>('Data Entry'!$F$16*$F21)-(G$10/(('Data Entry'!$C$9/100)*2200))*($E21)</f>
        <v>68.29395652173912</v>
      </c>
      <c r="H21" s="135">
        <f>('Data Entry'!$F$16*$F21)-(H$10/(('Data Entry'!$C$9/100)*2200))*($E21)</f>
        <v>63.84731620553359</v>
      </c>
      <c r="I21" s="135">
        <f>('Data Entry'!$F$16*$F21)-(I$10/(('Data Entry'!$C$9/100)*2200))*($E21)</f>
        <v>59.40067588932806</v>
      </c>
      <c r="J21" s="135">
        <f>('Data Entry'!$F$16*$F21)-(J$10/(('Data Entry'!$C$9/100)*2200))*($E21)</f>
        <v>54.954035573122525</v>
      </c>
      <c r="K21" s="135">
        <f>('Data Entry'!$F$16*$F21)-(K$10/(('Data Entry'!$C$9/100)*2200))*($E21)</f>
        <v>50.50739525691698</v>
      </c>
      <c r="L21" s="135">
        <f>('Data Entry'!$F$16*$F21)-(L$10/(('Data Entry'!$C$9/100)*2200))*($E21)</f>
        <v>46.06075494071146</v>
      </c>
      <c r="M21" s="136">
        <f>('Data Entry'!$F$16*$F21)-(M$10/(('Data Entry'!$C$9/100)*2200))*($E21)</f>
        <v>41.614114624505916</v>
      </c>
    </row>
    <row r="22" spans="1:13" ht="15">
      <c r="A22" s="16"/>
      <c r="B22" s="17"/>
      <c r="C22" s="18"/>
      <c r="D22" s="18"/>
      <c r="E22" s="190">
        <f>E19+3*C10</f>
        <v>100</v>
      </c>
      <c r="F22" s="126">
        <f t="shared" si="0"/>
        <v>13.569999999999997</v>
      </c>
      <c r="G22" s="135">
        <f>('Data Entry'!$F$16*$F22)-(G$10/(('Data Entry'!$C$9/100)*2200))*($E22)</f>
        <v>67.78217391304345</v>
      </c>
      <c r="H22" s="135">
        <f>('Data Entry'!$F$16*$F22)-(H$10/(('Data Entry'!$C$9/100)*2200))*($E22)</f>
        <v>62.84146245059285</v>
      </c>
      <c r="I22" s="135">
        <f>('Data Entry'!$F$16*$F22)-(I$10/(('Data Entry'!$C$9/100)*2200))*($E22)</f>
        <v>57.90075098814226</v>
      </c>
      <c r="J22" s="135">
        <f>('Data Entry'!$F$16*$F22)-(J$10/(('Data Entry'!$C$9/100)*2200))*($E22)</f>
        <v>52.96003952569167</v>
      </c>
      <c r="K22" s="135">
        <f>('Data Entry'!$F$16*$F22)-(K$10/(('Data Entry'!$C$9/100)*2200))*($E22)</f>
        <v>48.01932806324106</v>
      </c>
      <c r="L22" s="135">
        <f>('Data Entry'!$F$16*$F22)-(L$10/(('Data Entry'!$C$9/100)*2200))*($E22)</f>
        <v>43.07861660079048</v>
      </c>
      <c r="M22" s="136">
        <f>('Data Entry'!$F$16*$F22)-(M$10/(('Data Entry'!$C$9/100)*2200))*($E22)</f>
        <v>38.13790513833989</v>
      </c>
    </row>
    <row r="23" spans="1:13" ht="15">
      <c r="A23" s="16"/>
      <c r="B23" s="17"/>
      <c r="C23" s="18"/>
      <c r="D23" s="18"/>
      <c r="E23" s="190">
        <f>E19+4*C10</f>
        <v>110</v>
      </c>
      <c r="F23" s="126">
        <f t="shared" si="0"/>
        <v>13.937000000000001</v>
      </c>
      <c r="G23" s="135">
        <f>('Data Entry'!$F$16*$F23)-(G$10/(('Data Entry'!$C$9/100)*2200))*($E23)</f>
        <v>65.65039130434783</v>
      </c>
      <c r="H23" s="135">
        <f>('Data Entry'!$F$16*$F23)-(H$10/(('Data Entry'!$C$9/100)*2200))*($E23)</f>
        <v>60.21560869565218</v>
      </c>
      <c r="I23" s="135">
        <f>('Data Entry'!$F$16*$F23)-(I$10/(('Data Entry'!$C$9/100)*2200))*($E23)</f>
        <v>54.78082608695654</v>
      </c>
      <c r="J23" s="135">
        <f>('Data Entry'!$F$16*$F23)-(J$10/(('Data Entry'!$C$9/100)*2200))*($E23)</f>
        <v>49.34604347826088</v>
      </c>
      <c r="K23" s="135">
        <f>('Data Entry'!$F$16*$F23)-(K$10/(('Data Entry'!$C$9/100)*2200))*($E23)</f>
        <v>43.911260869565226</v>
      </c>
      <c r="L23" s="135">
        <f>('Data Entry'!$F$16*$F23)-(L$10/(('Data Entry'!$C$9/100)*2200))*($E23)</f>
        <v>38.47647826086957</v>
      </c>
      <c r="M23" s="136">
        <f>('Data Entry'!$F$16*$F23)-(M$10/(('Data Entry'!$C$9/100)*2200))*($E23)</f>
        <v>33.041695652173914</v>
      </c>
    </row>
    <row r="24" spans="1:13" ht="13.5" customHeight="1">
      <c r="A24" s="16"/>
      <c r="B24" s="17"/>
      <c r="C24" s="18"/>
      <c r="D24" s="18"/>
      <c r="E24" s="263" t="s">
        <v>66</v>
      </c>
      <c r="F24" s="264"/>
      <c r="G24" s="277"/>
      <c r="H24" s="277"/>
      <c r="I24" s="277"/>
      <c r="J24" s="277"/>
      <c r="K24" s="277"/>
      <c r="L24" s="277"/>
      <c r="M24" s="278"/>
    </row>
    <row r="25" spans="1:13" ht="9.75" customHeight="1">
      <c r="A25" s="16"/>
      <c r="B25" s="17"/>
      <c r="C25" s="18"/>
      <c r="D25" s="18"/>
      <c r="E25" s="263" t="s">
        <v>16</v>
      </c>
      <c r="F25" s="264"/>
      <c r="G25" s="264"/>
      <c r="H25" s="264"/>
      <c r="I25" s="264"/>
      <c r="J25" s="264"/>
      <c r="K25" s="264"/>
      <c r="L25" s="264"/>
      <c r="M25" s="265"/>
    </row>
    <row r="26" spans="1:13" ht="9.75" customHeight="1">
      <c r="A26" s="16"/>
      <c r="B26" s="17"/>
      <c r="C26" s="18"/>
      <c r="D26" s="18"/>
      <c r="E26" s="263" t="s">
        <v>27</v>
      </c>
      <c r="F26" s="264"/>
      <c r="G26" s="264"/>
      <c r="H26" s="264"/>
      <c r="I26" s="264"/>
      <c r="J26" s="264"/>
      <c r="K26" s="264"/>
      <c r="L26" s="264"/>
      <c r="M26" s="265"/>
    </row>
    <row r="27" spans="1:19" ht="11.25" customHeight="1">
      <c r="A27" s="16"/>
      <c r="B27" s="17"/>
      <c r="C27" s="18"/>
      <c r="D27" s="18"/>
      <c r="E27" s="249" t="s">
        <v>88</v>
      </c>
      <c r="F27" s="284"/>
      <c r="G27" s="284"/>
      <c r="H27" s="284"/>
      <c r="I27" s="284"/>
      <c r="J27" s="284"/>
      <c r="K27" s="284"/>
      <c r="L27" s="284"/>
      <c r="M27" s="262"/>
      <c r="N27" s="130"/>
      <c r="O27"/>
      <c r="P27"/>
      <c r="Q27"/>
      <c r="R27"/>
      <c r="S27"/>
    </row>
    <row r="28" spans="1:13" ht="12" customHeight="1" thickBot="1">
      <c r="A28" s="16"/>
      <c r="B28" s="17"/>
      <c r="C28" s="18"/>
      <c r="D28" s="18"/>
      <c r="E28" s="269" t="s">
        <v>38</v>
      </c>
      <c r="F28" s="271"/>
      <c r="G28" s="271"/>
      <c r="H28" s="271"/>
      <c r="I28" s="271"/>
      <c r="J28" s="272"/>
      <c r="K28" s="272"/>
      <c r="L28" s="272"/>
      <c r="M28" s="273"/>
    </row>
    <row r="29" spans="2:13" ht="11.25" customHeight="1">
      <c r="B29" s="17"/>
      <c r="E29" s="264"/>
      <c r="F29" s="264"/>
      <c r="G29" s="264"/>
      <c r="H29" s="264"/>
      <c r="I29" s="264"/>
      <c r="J29" s="264"/>
      <c r="K29" s="264"/>
      <c r="L29" s="264"/>
      <c r="M29" s="265"/>
    </row>
    <row r="30" spans="2:13" ht="9.75" customHeight="1" thickBot="1">
      <c r="B30" s="215"/>
      <c r="C30" s="216"/>
      <c r="D30" s="216"/>
      <c r="E30" s="216"/>
      <c r="F30" s="216"/>
      <c r="G30" s="216"/>
      <c r="H30" s="216"/>
      <c r="I30" s="216"/>
      <c r="J30" s="55"/>
      <c r="K30" s="55"/>
      <c r="L30" s="55"/>
      <c r="M30" s="56"/>
    </row>
  </sheetData>
  <sheetProtection password="CE5A" sheet="1" objects="1" scenarios="1"/>
  <mergeCells count="16">
    <mergeCell ref="B2:M2"/>
    <mergeCell ref="B3:M3"/>
    <mergeCell ref="B7:C7"/>
    <mergeCell ref="E24:M24"/>
    <mergeCell ref="K5:M5"/>
    <mergeCell ref="G5:J5"/>
    <mergeCell ref="D5:F5"/>
    <mergeCell ref="E25:M25"/>
    <mergeCell ref="E26:M26"/>
    <mergeCell ref="H8:L8"/>
    <mergeCell ref="G12:M12"/>
    <mergeCell ref="G13:M13"/>
    <mergeCell ref="E27:M27"/>
    <mergeCell ref="E28:M28"/>
    <mergeCell ref="E29:M29"/>
    <mergeCell ref="B30:I30"/>
  </mergeCells>
  <conditionalFormatting sqref="J15:J23">
    <cfRule type="cellIs" priority="1" dxfId="0" operator="between" stopIfTrue="1">
      <formula>MAX($J$15:$J$23)-0.5</formula>
      <formula>MAX($J$15:$J$23)+0.5</formula>
    </cfRule>
    <cfRule type="cellIs" priority="2" dxfId="1" operator="between" stopIfTrue="1">
      <formula>MAX($J$15:$J$23)-0.5</formula>
      <formula>MAX($J$15:$J$23)-1.5</formula>
    </cfRule>
    <cfRule type="cellIs" priority="3" dxfId="1" operator="between" stopIfTrue="1">
      <formula>MAX($J$15:$J$23)+0.5</formula>
      <formula>MAX($J$15:$J$23)+1.5</formula>
    </cfRule>
  </conditionalFormatting>
  <conditionalFormatting sqref="K15:K23">
    <cfRule type="cellIs" priority="4" dxfId="0" operator="between" stopIfTrue="1">
      <formula>MAX($K$15:$K$23)-0.5</formula>
      <formula>MAX($K$15:$K$23)+0.5</formula>
    </cfRule>
    <cfRule type="cellIs" priority="5" dxfId="1" operator="between" stopIfTrue="1">
      <formula>MAX($K$15:$K$23)-0.5</formula>
      <formula>MAX($K$15:$K$23)-1.5</formula>
    </cfRule>
    <cfRule type="cellIs" priority="6" dxfId="1" operator="between" stopIfTrue="1">
      <formula>MAX($K$15:$K$23)+0.5</formula>
      <formula>MAX($K$15:$K$23)+1.5</formula>
    </cfRule>
  </conditionalFormatting>
  <conditionalFormatting sqref="G15:G23">
    <cfRule type="cellIs" priority="7" dxfId="0" operator="between" stopIfTrue="1">
      <formula>MAX($G$15:$G$23)-0.5</formula>
      <formula>MAX($G$15:$G$23)+0.5</formula>
    </cfRule>
    <cfRule type="cellIs" priority="8" dxfId="1" operator="between" stopIfTrue="1">
      <formula>MAX($G$15:$G$23)-0.5</formula>
      <formula>MAX($G$15:$G$23)-1.5</formula>
    </cfRule>
    <cfRule type="cellIs" priority="9" dxfId="1" operator="between" stopIfTrue="1">
      <formula>MAX($G$15:$G$23)+0.5</formula>
      <formula>MAX($G$15:$G$23)+1.5</formula>
    </cfRule>
  </conditionalFormatting>
  <conditionalFormatting sqref="H15:H23">
    <cfRule type="cellIs" priority="10" dxfId="0" operator="between" stopIfTrue="1">
      <formula>MAX($H$15:$H$23)-0.5</formula>
      <formula>MAX($H$15:$H$23)+0.5</formula>
    </cfRule>
    <cfRule type="cellIs" priority="11" dxfId="1" operator="between" stopIfTrue="1">
      <formula>MAX($H$15:$H$23)-0.5</formula>
      <formula>MAX($H$15:$H$23)-1.5</formula>
    </cfRule>
    <cfRule type="cellIs" priority="12" dxfId="1" operator="between" stopIfTrue="1">
      <formula>MAX($H$15:$H$23)+0.5</formula>
      <formula>MAX($H$15:$HG$23)+1.5</formula>
    </cfRule>
  </conditionalFormatting>
  <conditionalFormatting sqref="L15:L23">
    <cfRule type="cellIs" priority="13" dxfId="0" operator="between" stopIfTrue="1">
      <formula>MAX($L$15:$L$23)-0.5</formula>
      <formula>MAX($L$15:$L$23)+0.5</formula>
    </cfRule>
    <cfRule type="cellIs" priority="14" dxfId="1" operator="between" stopIfTrue="1">
      <formula>MAX($L$15:$L$23)-0.5</formula>
      <formula>MAX($L$15:$L$23)-1.5</formula>
    </cfRule>
    <cfRule type="cellIs" priority="15" dxfId="1" operator="between" stopIfTrue="1">
      <formula>MAX($L$15:$L$23)+0.5</formula>
      <formula>MAX($L$15:$L$23)+1.5</formula>
    </cfRule>
  </conditionalFormatting>
  <conditionalFormatting sqref="M15:M23">
    <cfRule type="cellIs" priority="16" dxfId="0" operator="between" stopIfTrue="1">
      <formula>MAX($M$15:$M$23)-0.5</formula>
      <formula>MAX($M$15:$M$23)+0.5</formula>
    </cfRule>
    <cfRule type="cellIs" priority="17" dxfId="1" operator="between" stopIfTrue="1">
      <formula>MAX($M$15:$M$23)-0.5</formula>
      <formula>MAX($M$15:$M$23)-1.5</formula>
    </cfRule>
    <cfRule type="cellIs" priority="18" dxfId="1" operator="between" stopIfTrue="1">
      <formula>MAX($M$15:$M$23)+0.5</formula>
      <formula>MAX($M$15:$M$23)+1.5</formula>
    </cfRule>
  </conditionalFormatting>
  <conditionalFormatting sqref="I15:I23">
    <cfRule type="cellIs" priority="19" dxfId="0" operator="between" stopIfTrue="1">
      <formula>MAX($I$15:$I$23)-0.5</formula>
      <formula>MAX($I$15:$I$23+0.5)</formula>
    </cfRule>
    <cfRule type="cellIs" priority="20" dxfId="1" operator="between" stopIfTrue="1">
      <formula>MAX($I$15:$I$23)-0.5</formula>
      <formula>MAX($I$15:$I$23)-1.5</formula>
    </cfRule>
    <cfRule type="cellIs" priority="21" dxfId="1" operator="between" stopIfTrue="1">
      <formula>MAX($I$15:$I$23)+0.5</formula>
      <formula>MAX($I$15:$I$23)+1.5</formula>
    </cfRule>
  </conditionalFormatting>
  <hyperlinks>
    <hyperlink ref="D5" location="'Canola Crop'!A1" display="Return to Canola Crop as variable"/>
    <hyperlink ref="G5" location="'Canola MR'!A1" display="Go to Marginal Return Chart"/>
    <hyperlink ref="K5" location="'Data Entry'!A1" display="Return to Data Entry"/>
  </hyperlink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S30"/>
  <sheetViews>
    <sheetView showGridLines="0" workbookViewId="0" topLeftCell="A1">
      <selection activeCell="K5" sqref="K5:M5"/>
    </sheetView>
  </sheetViews>
  <sheetFormatPr defaultColWidth="9.140625" defaultRowHeight="12.75"/>
  <cols>
    <col min="1" max="1" width="1.57421875" style="10" customWidth="1"/>
    <col min="2" max="2" width="16.57421875" style="10" customWidth="1"/>
    <col min="3" max="5" width="9.140625" style="10" customWidth="1"/>
    <col min="6" max="6" width="16.8515625" style="10" customWidth="1"/>
    <col min="7" max="13" width="9.140625" style="10" customWidth="1"/>
    <col min="14" max="14" width="25.8515625" style="10" customWidth="1"/>
    <col min="15" max="16384" width="9.140625" style="10" customWidth="1"/>
  </cols>
  <sheetData>
    <row r="1" spans="2:9" ht="6" customHeight="1" thickBot="1">
      <c r="B1" s="11"/>
      <c r="C1" s="11"/>
      <c r="D1" s="11"/>
      <c r="E1" s="11"/>
      <c r="F1" s="11"/>
      <c r="G1" s="11"/>
      <c r="H1" s="11"/>
      <c r="I1" s="11"/>
    </row>
    <row r="2" spans="1:13" ht="20.25">
      <c r="A2" s="11"/>
      <c r="B2" s="254" t="s">
        <v>40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6"/>
    </row>
    <row r="3" spans="1:13" ht="20.25">
      <c r="A3" s="11"/>
      <c r="B3" s="257" t="s">
        <v>65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9"/>
    </row>
    <row r="4" spans="1:14" ht="6.75" customHeight="1">
      <c r="A4" s="11"/>
      <c r="B4" s="13"/>
      <c r="C4" s="14"/>
      <c r="D4" s="14"/>
      <c r="E4" s="14"/>
      <c r="F4" s="14"/>
      <c r="H4" s="14"/>
      <c r="I4" s="14"/>
      <c r="J4" s="12"/>
      <c r="K4" s="12"/>
      <c r="L4" s="12"/>
      <c r="M4" s="15"/>
      <c r="N4" s="158"/>
    </row>
    <row r="5" spans="2:13" ht="12.75">
      <c r="B5" s="198"/>
      <c r="C5" s="199"/>
      <c r="D5" s="279" t="s">
        <v>84</v>
      </c>
      <c r="E5" s="280"/>
      <c r="F5" s="280"/>
      <c r="G5" s="160" t="s">
        <v>69</v>
      </c>
      <c r="I5" s="12"/>
      <c r="J5" s="12"/>
      <c r="K5" s="261" t="s">
        <v>96</v>
      </c>
      <c r="L5" s="260"/>
      <c r="M5" s="262"/>
    </row>
    <row r="6" spans="1:14" ht="4.5" customHeight="1" thickBot="1">
      <c r="A6" s="16"/>
      <c r="B6" s="17"/>
      <c r="C6" s="18"/>
      <c r="D6" s="18"/>
      <c r="E6" s="18"/>
      <c r="F6" s="18"/>
      <c r="G6" s="18"/>
      <c r="H6" s="18"/>
      <c r="I6" s="18"/>
      <c r="J6" s="12"/>
      <c r="K6" s="12"/>
      <c r="L6" s="12"/>
      <c r="M6" s="15"/>
      <c r="N6" s="158"/>
    </row>
    <row r="7" spans="1:13" ht="15.75" customHeight="1" thickBot="1">
      <c r="A7" s="16"/>
      <c r="B7" s="234" t="s">
        <v>61</v>
      </c>
      <c r="C7" s="235"/>
      <c r="D7" s="18"/>
      <c r="E7" s="18"/>
      <c r="F7" s="18"/>
      <c r="G7" s="18"/>
      <c r="H7" s="19"/>
      <c r="I7" s="18"/>
      <c r="J7" s="19"/>
      <c r="K7" s="12"/>
      <c r="L7" s="12"/>
      <c r="M7" s="15"/>
    </row>
    <row r="8" spans="1:13" ht="15" customHeight="1">
      <c r="A8" s="16"/>
      <c r="B8" s="87" t="s">
        <v>58</v>
      </c>
      <c r="C8" s="21" t="s">
        <v>64</v>
      </c>
      <c r="D8" s="18"/>
      <c r="E8" s="22"/>
      <c r="F8" s="23"/>
      <c r="G8" s="23"/>
      <c r="H8" s="236" t="s">
        <v>63</v>
      </c>
      <c r="I8" s="237"/>
      <c r="J8" s="237"/>
      <c r="K8" s="237"/>
      <c r="L8" s="237"/>
      <c r="M8" s="24"/>
    </row>
    <row r="9" spans="1:13" ht="15">
      <c r="A9" s="16"/>
      <c r="B9" s="20" t="s">
        <v>60</v>
      </c>
      <c r="C9" s="83">
        <f>'Data Entry'!F16</f>
        <v>9</v>
      </c>
      <c r="D9" s="18"/>
      <c r="E9" s="17"/>
      <c r="F9" s="18"/>
      <c r="G9" s="18"/>
      <c r="H9" s="19"/>
      <c r="I9" s="18"/>
      <c r="J9" s="19"/>
      <c r="K9" s="12"/>
      <c r="L9" s="12"/>
      <c r="M9" s="15"/>
    </row>
    <row r="10" spans="1:13" ht="15">
      <c r="A10" s="16"/>
      <c r="B10" s="30" t="s">
        <v>20</v>
      </c>
      <c r="C10" s="106">
        <f>'Data Entry'!C11</f>
        <v>10</v>
      </c>
      <c r="D10" s="18"/>
      <c r="E10" s="17"/>
      <c r="F10" s="18"/>
      <c r="G10" s="108">
        <f>H10-$C$12</f>
        <v>550</v>
      </c>
      <c r="H10" s="108">
        <f>I10-$C$12</f>
        <v>600</v>
      </c>
      <c r="I10" s="108">
        <f>J10-$C$12</f>
        <v>650</v>
      </c>
      <c r="J10" s="109">
        <f>'Data Entry'!C8</f>
        <v>700</v>
      </c>
      <c r="K10" s="108">
        <f>J10+$C$12</f>
        <v>750</v>
      </c>
      <c r="L10" s="108">
        <f>K10+$C$12</f>
        <v>800</v>
      </c>
      <c r="M10" s="110">
        <f>L10+$C$12</f>
        <v>850</v>
      </c>
    </row>
    <row r="11" spans="1:13" ht="15">
      <c r="A11" s="16"/>
      <c r="B11" s="33" t="s">
        <v>106</v>
      </c>
      <c r="C11" s="46"/>
      <c r="D11" s="18"/>
      <c r="E11" s="17"/>
      <c r="F11" s="29" t="s">
        <v>6</v>
      </c>
      <c r="G11" s="18"/>
      <c r="H11" s="18"/>
      <c r="I11" s="18"/>
      <c r="J11" s="12"/>
      <c r="K11" s="12"/>
      <c r="L11" s="12"/>
      <c r="M11" s="15"/>
    </row>
    <row r="12" spans="1:13" ht="15">
      <c r="A12" s="16"/>
      <c r="B12" s="37" t="s">
        <v>56</v>
      </c>
      <c r="C12" s="61">
        <f>'Data Entry'!C17</f>
        <v>50</v>
      </c>
      <c r="D12" s="18"/>
      <c r="E12" s="32"/>
      <c r="F12" s="29" t="s">
        <v>7</v>
      </c>
      <c r="G12" s="274" t="s">
        <v>8</v>
      </c>
      <c r="H12" s="274"/>
      <c r="I12" s="274"/>
      <c r="J12" s="274"/>
      <c r="K12" s="274"/>
      <c r="L12" s="274"/>
      <c r="M12" s="275"/>
    </row>
    <row r="13" spans="1:13" ht="15.75" thickBot="1">
      <c r="A13" s="16"/>
      <c r="B13" s="43" t="s">
        <v>28</v>
      </c>
      <c r="C13" s="46"/>
      <c r="D13" s="18"/>
      <c r="E13" s="35" t="s">
        <v>9</v>
      </c>
      <c r="F13" s="36" t="s">
        <v>10</v>
      </c>
      <c r="G13" s="219" t="s">
        <v>15</v>
      </c>
      <c r="H13" s="219"/>
      <c r="I13" s="219"/>
      <c r="J13" s="219"/>
      <c r="K13" s="219"/>
      <c r="L13" s="219"/>
      <c r="M13" s="212"/>
    </row>
    <row r="14" spans="1:13" ht="15">
      <c r="A14" s="16"/>
      <c r="B14" s="113" t="s">
        <v>29</v>
      </c>
      <c r="C14" s="107">
        <f>'Data Entry'!C15</f>
        <v>30</v>
      </c>
      <c r="D14" s="18"/>
      <c r="E14" s="39" t="s">
        <v>11</v>
      </c>
      <c r="F14" s="40" t="s">
        <v>12</v>
      </c>
      <c r="G14" s="111">
        <f>'Data Entry'!$F$16/(G$10/(('Data Entry'!$C$9/100)*2200))</f>
        <v>16.560000000000002</v>
      </c>
      <c r="H14" s="111">
        <f>'Data Entry'!$F$16/(H$10/(('Data Entry'!$C$9/100)*2200))</f>
        <v>15.18</v>
      </c>
      <c r="I14" s="111">
        <f>'Data Entry'!$F$16/(I$10/(('Data Entry'!$C$9/100)*2200))</f>
        <v>14.012307692307694</v>
      </c>
      <c r="J14" s="111">
        <f>'Data Entry'!$F$16/(J$10/(('Data Entry'!$C$9/100)*2200))</f>
        <v>13.01142857142857</v>
      </c>
      <c r="K14" s="111">
        <f>'Data Entry'!$F$16/(K$10/(('Data Entry'!$C$9/100)*2200))</f>
        <v>12.143999999999998</v>
      </c>
      <c r="L14" s="111">
        <f>'Data Entry'!$F$16/(L$10/(('Data Entry'!$C$9/100)*2200))</f>
        <v>11.385</v>
      </c>
      <c r="M14" s="112">
        <f>'Data Entry'!$F$16/(M$10/(('Data Entry'!$C$9/100)*2200))</f>
        <v>10.715294117647058</v>
      </c>
    </row>
    <row r="15" spans="1:13" ht="15">
      <c r="A15" s="16"/>
      <c r="B15" s="43" t="s">
        <v>30</v>
      </c>
      <c r="C15" s="46"/>
      <c r="D15" s="18"/>
      <c r="E15" s="190">
        <f>IF((E19-4*$C$10)&lt;0,0,(E19-4*$C$10))</f>
        <v>60</v>
      </c>
      <c r="F15" s="126">
        <f>IF(((-0.0005*(E15+$C$14)^2+0.2317*(E15+$C$14))-(-0.0005*($C$14)^2+0.2317*($C$14)))&lt;0,0,(-0.0005*(E15+$C$14)^2+0.2317*(E15+$C$14))-(-0.0005*($C$14)^2+0.2317*($C$14)))</f>
        <v>10.301999999999998</v>
      </c>
      <c r="G15" s="135">
        <f>('Data Entry'!$F$16*$F15)-(G$10/(('Data Entry'!$C$9/100)*2200))*($E15)</f>
        <v>60.10930434782606</v>
      </c>
      <c r="H15" s="135">
        <f>('Data Entry'!$F$16*$F15)-(H$10/(('Data Entry'!$C$9/100)*2200))*($E15)</f>
        <v>57.1448774703557</v>
      </c>
      <c r="I15" s="135">
        <f>('Data Entry'!$F$16*$F15)-(I$10/(('Data Entry'!$C$9/100)*2200))*($E15)</f>
        <v>54.18045059288535</v>
      </c>
      <c r="J15" s="135">
        <f>('Data Entry'!$F$16*$F15)-(J$10/(('Data Entry'!$C$9/100)*2200))*($E15)</f>
        <v>51.21602371541499</v>
      </c>
      <c r="K15" s="135">
        <f>('Data Entry'!$F$16*$F15)-(K$10/(('Data Entry'!$C$9/100)*2200))*($E15)</f>
        <v>48.25159683794464</v>
      </c>
      <c r="L15" s="135">
        <f>('Data Entry'!$F$16*$F15)-(L$10/(('Data Entry'!$C$9/100)*2200))*($E15)</f>
        <v>45.28716996047429</v>
      </c>
      <c r="M15" s="136">
        <f>('Data Entry'!$F$16*$F15)-(M$10/(('Data Entry'!$C$9/100)*2200))*($E15)</f>
        <v>42.32274308300393</v>
      </c>
    </row>
    <row r="16" spans="1:13" ht="15">
      <c r="A16" s="16"/>
      <c r="B16" s="54"/>
      <c r="D16" s="18"/>
      <c r="E16" s="190">
        <f>IF((E20-4*$C$10)&lt;0,0,(E20-4*$C$10))</f>
        <v>70</v>
      </c>
      <c r="F16" s="126">
        <f aca="true" t="shared" si="0" ref="F16:F23">IF(((-0.0005*(E16+$C$14)^2+0.2317*(E16+$C$14))-(-0.0005*($C$14)^2+0.2317*($C$14)))&lt;0,0,(-0.0005*(E16+$C$14)^2+0.2317*(E16+$C$14))-(-0.0005*($C$14)^2+0.2317*($C$14)))</f>
        <v>11.668999999999999</v>
      </c>
      <c r="G16" s="135">
        <f>('Data Entry'!$F$16*$F16)-(G$10/(('Data Entry'!$C$9/100)*2200))*($E16)</f>
        <v>66.97752173913042</v>
      </c>
      <c r="H16" s="135">
        <f>('Data Entry'!$F$16*$F16)-(H$10/(('Data Entry'!$C$9/100)*2200))*($E16)</f>
        <v>63.519023715415</v>
      </c>
      <c r="I16" s="135">
        <f>('Data Entry'!$F$16*$F16)-(I$10/(('Data Entry'!$C$9/100)*2200))*($E16)</f>
        <v>60.060525691699596</v>
      </c>
      <c r="J16" s="135">
        <f>('Data Entry'!$F$16*$F16)-(J$10/(('Data Entry'!$C$9/100)*2200))*($E16)</f>
        <v>56.602027667984174</v>
      </c>
      <c r="K16" s="135">
        <f>('Data Entry'!$F$16*$F16)-(K$10/(('Data Entry'!$C$9/100)*2200))*($E16)</f>
        <v>53.14352964426876</v>
      </c>
      <c r="L16" s="135">
        <f>('Data Entry'!$F$16*$F16)-(L$10/(('Data Entry'!$C$9/100)*2200))*($E16)</f>
        <v>49.685031620553346</v>
      </c>
      <c r="M16" s="136">
        <f>('Data Entry'!$F$16*$F16)-(M$10/(('Data Entry'!$C$9/100)*2200))*($E16)</f>
        <v>46.22653359683793</v>
      </c>
    </row>
    <row r="17" spans="1:13" ht="15">
      <c r="A17" s="16"/>
      <c r="B17" s="54"/>
      <c r="D17" s="18"/>
      <c r="E17" s="190">
        <f>IF((E21-4*$C$10)&lt;0,0,(E21-4*$C$10))</f>
        <v>80</v>
      </c>
      <c r="F17" s="126">
        <f t="shared" si="0"/>
        <v>12.935999999999998</v>
      </c>
      <c r="G17" s="135">
        <f>('Data Entry'!$F$16*$F17)-(G$10/(('Data Entry'!$C$9/100)*2200))*($E17)</f>
        <v>72.94573913043476</v>
      </c>
      <c r="H17" s="135">
        <f>('Data Entry'!$F$16*$F17)-(H$10/(('Data Entry'!$C$9/100)*2200))*($E17)</f>
        <v>68.99316996047429</v>
      </c>
      <c r="I17" s="135">
        <f>('Data Entry'!$F$16*$F17)-(I$10/(('Data Entry'!$C$9/100)*2200))*($E17)</f>
        <v>65.04060079051382</v>
      </c>
      <c r="J17" s="135">
        <f>('Data Entry'!$F$16*$F17)-(J$10/(('Data Entry'!$C$9/100)*2200))*($E17)</f>
        <v>61.08803162055334</v>
      </c>
      <c r="K17" s="135">
        <f>('Data Entry'!$F$16*$F17)-(K$10/(('Data Entry'!$C$9/100)*2200))*($E17)</f>
        <v>57.13546245059286</v>
      </c>
      <c r="L17" s="135">
        <f>('Data Entry'!$F$16*$F17)-(L$10/(('Data Entry'!$C$9/100)*2200))*($E17)</f>
        <v>53.18289328063239</v>
      </c>
      <c r="M17" s="136">
        <f>('Data Entry'!$F$16*$F17)-(M$10/(('Data Entry'!$C$9/100)*2200))*($E17)</f>
        <v>49.230324110671916</v>
      </c>
    </row>
    <row r="18" spans="1:13" ht="15.75" thickBot="1">
      <c r="A18" s="16"/>
      <c r="B18" s="17"/>
      <c r="C18" s="18"/>
      <c r="D18" s="18"/>
      <c r="E18" s="193">
        <f>IF((E22-4*$C$10)&lt;0,0,(E22-4*$C$10))</f>
        <v>90</v>
      </c>
      <c r="F18" s="126">
        <f t="shared" si="0"/>
        <v>14.103</v>
      </c>
      <c r="G18" s="135">
        <f>('Data Entry'!$F$16*$F18)-(G$10/(('Data Entry'!$C$9/100)*2200))*($E18)</f>
        <v>78.01395652173912</v>
      </c>
      <c r="H18" s="135">
        <f>('Data Entry'!$F$16*$F18)-(H$10/(('Data Entry'!$C$9/100)*2200))*($E18)</f>
        <v>73.56731620553359</v>
      </c>
      <c r="I18" s="135">
        <f>('Data Entry'!$F$16*$F18)-(I$10/(('Data Entry'!$C$9/100)*2200))*($E18)</f>
        <v>69.12067588932806</v>
      </c>
      <c r="J18" s="135">
        <f>('Data Entry'!$F$16*$F18)-(J$10/(('Data Entry'!$C$9/100)*2200))*($E18)</f>
        <v>64.67403557312252</v>
      </c>
      <c r="K18" s="135">
        <f>('Data Entry'!$F$16*$F18)-(K$10/(('Data Entry'!$C$9/100)*2200))*($E18)</f>
        <v>60.22739525691698</v>
      </c>
      <c r="L18" s="135">
        <f>('Data Entry'!$F$16*$F18)-(L$10/(('Data Entry'!$C$9/100)*2200))*($E18)</f>
        <v>55.78075494071146</v>
      </c>
      <c r="M18" s="136">
        <f>('Data Entry'!$F$16*$F18)-(M$10/(('Data Entry'!$C$9/100)*2200))*($E18)</f>
        <v>51.334114624505915</v>
      </c>
    </row>
    <row r="19" spans="1:13" ht="15.75" thickBot="1">
      <c r="A19" s="16"/>
      <c r="B19" s="54"/>
      <c r="C19" s="48"/>
      <c r="D19" s="49" t="s">
        <v>13</v>
      </c>
      <c r="E19" s="50">
        <f>'Data Entry'!F12</f>
        <v>100</v>
      </c>
      <c r="F19" s="192">
        <f t="shared" si="0"/>
        <v>15.17</v>
      </c>
      <c r="G19" s="135">
        <f>('Data Entry'!$F$16*$F19)-(G$10/(('Data Entry'!$C$9/100)*2200))*($E19)</f>
        <v>82.18217391304348</v>
      </c>
      <c r="H19" s="135">
        <f>('Data Entry'!$F$16*$F19)-(H$10/(('Data Entry'!$C$9/100)*2200))*($E19)</f>
        <v>77.24146245059288</v>
      </c>
      <c r="I19" s="135">
        <f>('Data Entry'!$F$16*$F19)-(I$10/(('Data Entry'!$C$9/100)*2200))*($E19)</f>
        <v>72.3007509881423</v>
      </c>
      <c r="J19" s="135">
        <f>('Data Entry'!$F$16*$F19)-(J$10/(('Data Entry'!$C$9/100)*2200))*($E19)</f>
        <v>67.3600395256917</v>
      </c>
      <c r="K19" s="135">
        <f>('Data Entry'!$F$16*$F19)-(K$10/(('Data Entry'!$C$9/100)*2200))*($E19)</f>
        <v>62.419328063241096</v>
      </c>
      <c r="L19" s="135">
        <f>('Data Entry'!$F$16*$F19)-(L$10/(('Data Entry'!$C$9/100)*2200))*($E19)</f>
        <v>57.47861660079052</v>
      </c>
      <c r="M19" s="136">
        <f>('Data Entry'!$F$16*$F19)-(M$10/(('Data Entry'!$C$9/100)*2200))*($E19)</f>
        <v>52.53790513833992</v>
      </c>
    </row>
    <row r="20" spans="1:13" ht="15">
      <c r="A20" s="16"/>
      <c r="B20" s="17"/>
      <c r="C20" s="18"/>
      <c r="D20" s="18"/>
      <c r="E20" s="194">
        <f>E19+C10</f>
        <v>110</v>
      </c>
      <c r="F20" s="126">
        <f t="shared" si="0"/>
        <v>16.136999999999993</v>
      </c>
      <c r="G20" s="135">
        <f>('Data Entry'!$F$16*$F20)-(G$10/(('Data Entry'!$C$9/100)*2200))*($E20)</f>
        <v>85.45039130434778</v>
      </c>
      <c r="H20" s="135">
        <f>('Data Entry'!$F$16*$F20)-(H$10/(('Data Entry'!$C$9/100)*2200))*($E20)</f>
        <v>80.01560869565212</v>
      </c>
      <c r="I20" s="135">
        <f>('Data Entry'!$F$16*$F20)-(I$10/(('Data Entry'!$C$9/100)*2200))*($E20)</f>
        <v>74.58082608695648</v>
      </c>
      <c r="J20" s="135">
        <f>('Data Entry'!$F$16*$F20)-(J$10/(('Data Entry'!$C$9/100)*2200))*($E20)</f>
        <v>69.14604347826082</v>
      </c>
      <c r="K20" s="135">
        <f>('Data Entry'!$F$16*$F20)-(K$10/(('Data Entry'!$C$9/100)*2200))*($E20)</f>
        <v>63.711260869565166</v>
      </c>
      <c r="L20" s="135">
        <f>('Data Entry'!$F$16*$F20)-(L$10/(('Data Entry'!$C$9/100)*2200))*($E20)</f>
        <v>58.27647826086951</v>
      </c>
      <c r="M20" s="136">
        <f>('Data Entry'!$F$16*$F20)-(M$10/(('Data Entry'!$C$9/100)*2200))*($E20)</f>
        <v>52.841695652173854</v>
      </c>
    </row>
    <row r="21" spans="1:13" ht="15">
      <c r="A21" s="16"/>
      <c r="B21" s="17"/>
      <c r="C21" s="18"/>
      <c r="D21" s="18"/>
      <c r="E21" s="190">
        <f>E19+2*C10</f>
        <v>120</v>
      </c>
      <c r="F21" s="126">
        <f t="shared" si="0"/>
        <v>17.003999999999998</v>
      </c>
      <c r="G21" s="135">
        <f>('Data Entry'!$F$16*$F21)-(G$10/(('Data Entry'!$C$9/100)*2200))*($E21)</f>
        <v>87.81860869565215</v>
      </c>
      <c r="H21" s="135">
        <f>('Data Entry'!$F$16*$F21)-(H$10/(('Data Entry'!$C$9/100)*2200))*($E21)</f>
        <v>81.88975494071143</v>
      </c>
      <c r="I21" s="135">
        <f>('Data Entry'!$F$16*$F21)-(I$10/(('Data Entry'!$C$9/100)*2200))*($E21)</f>
        <v>75.96090118577072</v>
      </c>
      <c r="J21" s="135">
        <f>('Data Entry'!$F$16*$F21)-(J$10/(('Data Entry'!$C$9/100)*2200))*($E21)</f>
        <v>70.03204743083</v>
      </c>
      <c r="K21" s="135">
        <f>('Data Entry'!$F$16*$F21)-(K$10/(('Data Entry'!$C$9/100)*2200))*($E21)</f>
        <v>64.1031936758893</v>
      </c>
      <c r="L21" s="135">
        <f>('Data Entry'!$F$16*$F21)-(L$10/(('Data Entry'!$C$9/100)*2200))*($E21)</f>
        <v>58.1743399209486</v>
      </c>
      <c r="M21" s="136">
        <f>('Data Entry'!$F$16*$F21)-(M$10/(('Data Entry'!$C$9/100)*2200))*($E21)</f>
        <v>52.24548616600788</v>
      </c>
    </row>
    <row r="22" spans="1:13" ht="15">
      <c r="A22" s="16"/>
      <c r="B22" s="17"/>
      <c r="C22" s="18"/>
      <c r="D22" s="18"/>
      <c r="E22" s="190">
        <f>E19+3*C10</f>
        <v>130</v>
      </c>
      <c r="F22" s="126">
        <f t="shared" si="0"/>
        <v>17.770999999999994</v>
      </c>
      <c r="G22" s="135">
        <f>('Data Entry'!$F$16*$F22)-(G$10/(('Data Entry'!$C$9/100)*2200))*($E22)</f>
        <v>89.28682608695647</v>
      </c>
      <c r="H22" s="135">
        <f>('Data Entry'!$F$16*$F22)-(H$10/(('Data Entry'!$C$9/100)*2200))*($E22)</f>
        <v>82.86390118577069</v>
      </c>
      <c r="I22" s="135">
        <f>('Data Entry'!$F$16*$F22)-(I$10/(('Data Entry'!$C$9/100)*2200))*($E22)</f>
        <v>76.44097628458492</v>
      </c>
      <c r="J22" s="135">
        <f>('Data Entry'!$F$16*$F22)-(J$10/(('Data Entry'!$C$9/100)*2200))*($E22)</f>
        <v>70.01805138339914</v>
      </c>
      <c r="K22" s="135">
        <f>('Data Entry'!$F$16*$F22)-(K$10/(('Data Entry'!$C$9/100)*2200))*($E22)</f>
        <v>63.595126482213374</v>
      </c>
      <c r="L22" s="135">
        <f>('Data Entry'!$F$16*$F22)-(L$10/(('Data Entry'!$C$9/100)*2200))*($E22)</f>
        <v>57.17220158102761</v>
      </c>
      <c r="M22" s="136">
        <f>('Data Entry'!$F$16*$F22)-(M$10/(('Data Entry'!$C$9/100)*2200))*($E22)</f>
        <v>50.74927667984183</v>
      </c>
    </row>
    <row r="23" spans="1:13" ht="15">
      <c r="A23" s="16"/>
      <c r="B23" s="17"/>
      <c r="C23" s="18"/>
      <c r="D23" s="18"/>
      <c r="E23" s="190">
        <f>E19+4*C10</f>
        <v>140</v>
      </c>
      <c r="F23" s="126">
        <f t="shared" si="0"/>
        <v>18.437999999999995</v>
      </c>
      <c r="G23" s="135">
        <f>('Data Entry'!$F$16*$F23)-(G$10/(('Data Entry'!$C$9/100)*2200))*($E23)</f>
        <v>89.85504347826082</v>
      </c>
      <c r="H23" s="135">
        <f>('Data Entry'!$F$16*$F23)-(H$10/(('Data Entry'!$C$9/100)*2200))*($E23)</f>
        <v>82.93804743082998</v>
      </c>
      <c r="I23" s="135">
        <f>('Data Entry'!$F$16*$F23)-(I$10/(('Data Entry'!$C$9/100)*2200))*($E23)</f>
        <v>76.02105138339917</v>
      </c>
      <c r="J23" s="135">
        <f>('Data Entry'!$F$16*$F23)-(J$10/(('Data Entry'!$C$9/100)*2200))*($E23)</f>
        <v>69.10405533596833</v>
      </c>
      <c r="K23" s="135">
        <f>('Data Entry'!$F$16*$F23)-(K$10/(('Data Entry'!$C$9/100)*2200))*($E23)</f>
        <v>62.1870592885375</v>
      </c>
      <c r="L23" s="135">
        <f>('Data Entry'!$F$16*$F23)-(L$10/(('Data Entry'!$C$9/100)*2200))*($E23)</f>
        <v>55.27006324110667</v>
      </c>
      <c r="M23" s="136">
        <f>('Data Entry'!$F$16*$F23)-(M$10/(('Data Entry'!$C$9/100)*2200))*($E23)</f>
        <v>48.35306719367584</v>
      </c>
    </row>
    <row r="24" spans="1:13" ht="11.25" customHeight="1">
      <c r="A24" s="16"/>
      <c r="B24" s="17"/>
      <c r="C24" s="18"/>
      <c r="D24" s="18"/>
      <c r="E24" s="263" t="s">
        <v>66</v>
      </c>
      <c r="F24" s="264"/>
      <c r="G24" s="277"/>
      <c r="H24" s="277"/>
      <c r="I24" s="277"/>
      <c r="J24" s="277"/>
      <c r="K24" s="277"/>
      <c r="L24" s="277"/>
      <c r="M24" s="278"/>
    </row>
    <row r="25" spans="1:13" ht="11.25" customHeight="1">
      <c r="A25" s="16"/>
      <c r="B25" s="17"/>
      <c r="C25" s="18"/>
      <c r="D25" s="18"/>
      <c r="E25" s="263" t="s">
        <v>16</v>
      </c>
      <c r="F25" s="264"/>
      <c r="G25" s="264"/>
      <c r="H25" s="264"/>
      <c r="I25" s="264"/>
      <c r="J25" s="264"/>
      <c r="K25" s="264"/>
      <c r="L25" s="264"/>
      <c r="M25" s="265"/>
    </row>
    <row r="26" spans="1:13" ht="11.25" customHeight="1">
      <c r="A26" s="16"/>
      <c r="B26" s="17"/>
      <c r="C26" s="18"/>
      <c r="D26" s="18"/>
      <c r="E26" s="263" t="s">
        <v>25</v>
      </c>
      <c r="F26" s="264"/>
      <c r="G26" s="264"/>
      <c r="H26" s="264"/>
      <c r="I26" s="264"/>
      <c r="J26" s="264"/>
      <c r="K26" s="264"/>
      <c r="L26" s="264"/>
      <c r="M26" s="265"/>
    </row>
    <row r="27" spans="1:19" ht="11.25" customHeight="1">
      <c r="A27" s="16"/>
      <c r="B27" s="17"/>
      <c r="C27" s="18"/>
      <c r="D27" s="18"/>
      <c r="E27" s="249" t="s">
        <v>88</v>
      </c>
      <c r="F27" s="284"/>
      <c r="G27" s="284"/>
      <c r="H27" s="284"/>
      <c r="I27" s="284"/>
      <c r="J27" s="284"/>
      <c r="K27" s="284"/>
      <c r="L27" s="284"/>
      <c r="M27" s="262"/>
      <c r="N27" s="130"/>
      <c r="O27"/>
      <c r="P27"/>
      <c r="Q27"/>
      <c r="R27"/>
      <c r="S27"/>
    </row>
    <row r="28" spans="1:13" ht="11.25" customHeight="1" thickBot="1">
      <c r="A28" s="16"/>
      <c r="B28" s="17"/>
      <c r="C28" s="18"/>
      <c r="D28" s="18"/>
      <c r="E28" s="269" t="s">
        <v>38</v>
      </c>
      <c r="F28" s="271"/>
      <c r="G28" s="271"/>
      <c r="H28" s="271"/>
      <c r="I28" s="271"/>
      <c r="J28" s="272"/>
      <c r="K28" s="272"/>
      <c r="L28" s="272"/>
      <c r="M28" s="273"/>
    </row>
    <row r="29" spans="2:13" ht="11.25" customHeight="1">
      <c r="B29" s="17"/>
      <c r="E29" s="264"/>
      <c r="F29" s="264"/>
      <c r="G29" s="264"/>
      <c r="H29" s="264"/>
      <c r="I29" s="264"/>
      <c r="J29" s="264"/>
      <c r="K29" s="264"/>
      <c r="L29" s="264"/>
      <c r="M29" s="265"/>
    </row>
    <row r="30" spans="2:13" ht="10.5" customHeight="1" thickBot="1">
      <c r="B30" s="215"/>
      <c r="C30" s="216"/>
      <c r="D30" s="216"/>
      <c r="E30" s="216"/>
      <c r="F30" s="216"/>
      <c r="G30" s="216"/>
      <c r="H30" s="216"/>
      <c r="I30" s="216"/>
      <c r="J30" s="55"/>
      <c r="K30" s="55"/>
      <c r="L30" s="55"/>
      <c r="M30" s="56"/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</sheetData>
  <sheetProtection password="CE5A" sheet="1" objects="1" scenarios="1"/>
  <mergeCells count="15">
    <mergeCell ref="B2:M2"/>
    <mergeCell ref="B3:M3"/>
    <mergeCell ref="B7:C7"/>
    <mergeCell ref="H8:L8"/>
    <mergeCell ref="K5:M5"/>
    <mergeCell ref="D5:F5"/>
    <mergeCell ref="G12:M12"/>
    <mergeCell ref="E25:M25"/>
    <mergeCell ref="E26:M26"/>
    <mergeCell ref="G13:M13"/>
    <mergeCell ref="E24:M24"/>
    <mergeCell ref="B30:I30"/>
    <mergeCell ref="E28:M28"/>
    <mergeCell ref="E29:M29"/>
    <mergeCell ref="E27:M27"/>
  </mergeCells>
  <conditionalFormatting sqref="J15:J23">
    <cfRule type="cellIs" priority="1" dxfId="0" operator="between" stopIfTrue="1">
      <formula>MAX($J$15:$J$23)-0.5</formula>
      <formula>MAX($J$15:$J$23)+0.5</formula>
    </cfRule>
    <cfRule type="cellIs" priority="2" dxfId="1" operator="between" stopIfTrue="1">
      <formula>MAX($J$15:$J$23)-0.5</formula>
      <formula>MAX($J$15:$J$23)-1.5</formula>
    </cfRule>
    <cfRule type="cellIs" priority="3" dxfId="1" operator="between" stopIfTrue="1">
      <formula>MAX($J$15:$J$23)+0.5</formula>
      <formula>MAX($J$15:$J$23)+1.5</formula>
    </cfRule>
  </conditionalFormatting>
  <conditionalFormatting sqref="K15:K23">
    <cfRule type="cellIs" priority="4" dxfId="0" operator="between" stopIfTrue="1">
      <formula>MAX($K$15:$K$23)-0.5</formula>
      <formula>MAX($K$15:$K$23)+0.5</formula>
    </cfRule>
    <cfRule type="cellIs" priority="5" dxfId="1" operator="between" stopIfTrue="1">
      <formula>MAX($K$15:$K$23)-0.5</formula>
      <formula>MAX($K$15:$K$23)-1.5</formula>
    </cfRule>
    <cfRule type="cellIs" priority="6" dxfId="1" operator="between" stopIfTrue="1">
      <formula>MAX($K$15:$K$23)+0.5</formula>
      <formula>MAX($K$15:$K$23)+1.5</formula>
    </cfRule>
  </conditionalFormatting>
  <conditionalFormatting sqref="G15:G23">
    <cfRule type="cellIs" priority="7" dxfId="0" operator="between" stopIfTrue="1">
      <formula>MAX($G$15:$G$23)-0.5</formula>
      <formula>MAX($G$15:$G$23)+0.5</formula>
    </cfRule>
    <cfRule type="cellIs" priority="8" dxfId="1" operator="between" stopIfTrue="1">
      <formula>MAX($G$15:$G$23)-0.5</formula>
      <formula>MAX($G$15:$G$23)-1.5</formula>
    </cfRule>
    <cfRule type="cellIs" priority="9" dxfId="1" operator="between" stopIfTrue="1">
      <formula>MAX($G$15:$G$23)+0.5</formula>
      <formula>MAX($G$15:$G$23)+1.5</formula>
    </cfRule>
  </conditionalFormatting>
  <conditionalFormatting sqref="H15:H23">
    <cfRule type="cellIs" priority="10" dxfId="0" operator="between" stopIfTrue="1">
      <formula>MAX($H$15:$H$23)-0.5</formula>
      <formula>MAX($H$15:$H$23)+0.5</formula>
    </cfRule>
    <cfRule type="cellIs" priority="11" dxfId="1" operator="between" stopIfTrue="1">
      <formula>MAX($H$15:$H$23)-0.5</formula>
      <formula>MAX($H$15:$H$23)-1.5</formula>
    </cfRule>
    <cfRule type="cellIs" priority="12" dxfId="1" operator="between" stopIfTrue="1">
      <formula>MAX($H$15:$H$23)+0.5</formula>
      <formula>MAX($H$15:$HG$23)+1.5</formula>
    </cfRule>
  </conditionalFormatting>
  <conditionalFormatting sqref="L15:L23">
    <cfRule type="cellIs" priority="13" dxfId="0" operator="between" stopIfTrue="1">
      <formula>MAX($L$15:$L$23)-0.5</formula>
      <formula>MAX($L$15:$L$23)+0.5</formula>
    </cfRule>
    <cfRule type="cellIs" priority="14" dxfId="1" operator="between" stopIfTrue="1">
      <formula>MAX($L$15:$L$23)-0.5</formula>
      <formula>MAX($L$15:$L$23)-1.5</formula>
    </cfRule>
    <cfRule type="cellIs" priority="15" dxfId="1" operator="between" stopIfTrue="1">
      <formula>MAX($L$15:$L$23)+0.5</formula>
      <formula>MAX($L$15:$L$23)+1.5</formula>
    </cfRule>
  </conditionalFormatting>
  <conditionalFormatting sqref="M15:M23">
    <cfRule type="cellIs" priority="16" dxfId="0" operator="between" stopIfTrue="1">
      <formula>MAX($M$15:$M$23)-0.5</formula>
      <formula>MAX($M$15:$M$23)+0.5</formula>
    </cfRule>
    <cfRule type="cellIs" priority="17" dxfId="1" operator="between" stopIfTrue="1">
      <formula>MAX($M$15:$M$23)-0.5</formula>
      <formula>MAX($M$15:$M$23)-1.5</formula>
    </cfRule>
    <cfRule type="cellIs" priority="18" dxfId="1" operator="between" stopIfTrue="1">
      <formula>MAX($M$15:$M$23)+0.5</formula>
      <formula>MAX($M$15:$M$23)+1.5</formula>
    </cfRule>
  </conditionalFormatting>
  <conditionalFormatting sqref="I15:I23">
    <cfRule type="cellIs" priority="19" dxfId="0" operator="between" stopIfTrue="1">
      <formula>MAX($I$15:$I$23)-0.5</formula>
      <formula>MAX($I$15:$I$23+0.5)</formula>
    </cfRule>
    <cfRule type="cellIs" priority="20" dxfId="1" operator="between" stopIfTrue="1">
      <formula>MAX($I$15:$I$23)-0.5</formula>
      <formula>MAX($I$15:$I$23)-1.5</formula>
    </cfRule>
    <cfRule type="cellIs" priority="21" dxfId="1" operator="between" stopIfTrue="1">
      <formula>MAX($I$15:$I$23)+0.5</formula>
      <formula>MAX($I$15:$I$23)+1.5</formula>
    </cfRule>
  </conditionalFormatting>
  <hyperlinks>
    <hyperlink ref="D5" location="'Canola (hybrid) Crop'!A1" display="Return to Canola (hybrid) as variable"/>
    <hyperlink ref="G5" location="'Canola (hybrid) MR'!A1" display="Go to Marginal Return Chart"/>
    <hyperlink ref="K5" location="'Data Entry'!A1" display="Return to Data Entry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showGridLines="0" workbookViewId="0" topLeftCell="A1">
      <selection activeCell="F19" sqref="F19"/>
    </sheetView>
  </sheetViews>
  <sheetFormatPr defaultColWidth="9.140625" defaultRowHeight="12.75"/>
  <cols>
    <col min="1" max="1" width="1.57421875" style="10" customWidth="1"/>
    <col min="2" max="2" width="17.140625" style="10" customWidth="1"/>
    <col min="3" max="3" width="9.421875" style="10" bestFit="1" customWidth="1"/>
    <col min="4" max="4" width="11.140625" style="10" customWidth="1"/>
    <col min="5" max="5" width="9.421875" style="10" bestFit="1" customWidth="1"/>
    <col min="6" max="6" width="9.421875" style="10" customWidth="1"/>
    <col min="7" max="7" width="13.00390625" style="10" customWidth="1"/>
    <col min="8" max="14" width="9.57421875" style="10" customWidth="1"/>
    <col min="15" max="15" width="16.00390625" style="154" customWidth="1"/>
    <col min="16" max="16" width="10.28125" style="10" customWidth="1"/>
    <col min="17" max="16384" width="9.140625" style="10" customWidth="1"/>
  </cols>
  <sheetData>
    <row r="1" spans="2:10" ht="6" customHeight="1" thickBot="1">
      <c r="B1" s="11"/>
      <c r="C1" s="11"/>
      <c r="D1" s="11"/>
      <c r="E1" s="11"/>
      <c r="F1" s="11"/>
      <c r="G1" s="11"/>
      <c r="H1" s="11"/>
      <c r="I1" s="11"/>
      <c r="J1" s="11"/>
    </row>
    <row r="2" spans="1:14" ht="20.25">
      <c r="A2" s="11"/>
      <c r="B2" s="254" t="s">
        <v>40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6"/>
    </row>
    <row r="3" spans="1:14" ht="20.25">
      <c r="A3" s="11"/>
      <c r="B3" s="257" t="s">
        <v>47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9"/>
    </row>
    <row r="4" spans="1:17" ht="6.75" customHeight="1">
      <c r="A4" s="11"/>
      <c r="B4" s="13"/>
      <c r="C4" s="14"/>
      <c r="D4" s="14"/>
      <c r="E4" s="14"/>
      <c r="F4" s="14"/>
      <c r="G4" s="14"/>
      <c r="H4" s="14"/>
      <c r="I4" s="14"/>
      <c r="J4" s="14"/>
      <c r="K4" s="12"/>
      <c r="L4" s="12"/>
      <c r="M4" s="12"/>
      <c r="N4" s="15"/>
      <c r="O4" s="155"/>
      <c r="P4" s="154"/>
      <c r="Q4" s="154"/>
    </row>
    <row r="5" spans="2:14" ht="12.75">
      <c r="B5" s="198"/>
      <c r="C5" s="199"/>
      <c r="D5" s="199"/>
      <c r="E5" s="253" t="s">
        <v>109</v>
      </c>
      <c r="F5" s="253"/>
      <c r="G5" s="253"/>
      <c r="H5" s="253" t="s">
        <v>119</v>
      </c>
      <c r="I5" s="253"/>
      <c r="J5" s="253"/>
      <c r="K5" s="260"/>
      <c r="L5" s="261" t="s">
        <v>96</v>
      </c>
      <c r="M5" s="260"/>
      <c r="N5" s="262"/>
    </row>
    <row r="6" spans="1:15" ht="4.5" customHeight="1" thickBot="1">
      <c r="A6" s="16"/>
      <c r="B6" s="17"/>
      <c r="C6" s="18"/>
      <c r="D6" s="18"/>
      <c r="E6" s="18"/>
      <c r="F6" s="18"/>
      <c r="G6" s="18"/>
      <c r="H6" s="18"/>
      <c r="I6" s="18"/>
      <c r="J6" s="18"/>
      <c r="K6" s="12"/>
      <c r="L6" s="12"/>
      <c r="M6" s="12"/>
      <c r="N6" s="15"/>
      <c r="O6" s="155"/>
    </row>
    <row r="7" spans="1:15" ht="15.75" customHeight="1" thickBot="1">
      <c r="A7" s="16"/>
      <c r="B7" s="234" t="s">
        <v>39</v>
      </c>
      <c r="C7" s="235"/>
      <c r="E7" s="18"/>
      <c r="F7" s="18"/>
      <c r="G7" s="18"/>
      <c r="H7" s="18"/>
      <c r="I7" s="19"/>
      <c r="J7" s="18"/>
      <c r="K7" s="19"/>
      <c r="L7" s="12"/>
      <c r="M7" s="12"/>
      <c r="N7" s="15"/>
      <c r="O7" s="155"/>
    </row>
    <row r="8" spans="1:15" ht="15" customHeight="1">
      <c r="A8" s="16"/>
      <c r="B8" s="87" t="s">
        <v>1</v>
      </c>
      <c r="C8" s="21" t="str">
        <f>'Data Entry'!C7</f>
        <v>UREA</v>
      </c>
      <c r="D8" s="18"/>
      <c r="E8" s="62"/>
      <c r="F8" s="63"/>
      <c r="G8" s="213" t="s">
        <v>100</v>
      </c>
      <c r="H8" s="63"/>
      <c r="I8" s="236" t="s">
        <v>17</v>
      </c>
      <c r="J8" s="237"/>
      <c r="K8" s="237"/>
      <c r="L8" s="237"/>
      <c r="M8" s="237"/>
      <c r="N8" s="64"/>
      <c r="O8" s="155"/>
    </row>
    <row r="9" spans="1:15" ht="15">
      <c r="A9" s="16"/>
      <c r="B9" s="20" t="s">
        <v>3</v>
      </c>
      <c r="C9" s="59">
        <f>'Data Entry'!C8</f>
        <v>700</v>
      </c>
      <c r="D9" s="18"/>
      <c r="E9" s="65"/>
      <c r="F9" s="66"/>
      <c r="G9" s="214"/>
      <c r="H9" s="66"/>
      <c r="I9" s="67"/>
      <c r="J9" s="66"/>
      <c r="K9" s="67"/>
      <c r="L9" s="68"/>
      <c r="M9" s="68"/>
      <c r="N9" s="69"/>
      <c r="O9" s="155"/>
    </row>
    <row r="10" spans="1:15" ht="15">
      <c r="A10" s="16"/>
      <c r="B10" s="20" t="s">
        <v>4</v>
      </c>
      <c r="C10" s="25">
        <f>'Data Entry'!C9</f>
        <v>46</v>
      </c>
      <c r="D10" s="18"/>
      <c r="E10" s="65"/>
      <c r="F10" s="66"/>
      <c r="G10" s="214"/>
      <c r="H10" s="26">
        <f>K10-C14*3</f>
        <v>3.5</v>
      </c>
      <c r="I10" s="26">
        <f>K10-C14*2</f>
        <v>4</v>
      </c>
      <c r="J10" s="26">
        <f>K10-C14</f>
        <v>4.5</v>
      </c>
      <c r="K10" s="27">
        <f>'Data Entry'!F14</f>
        <v>5</v>
      </c>
      <c r="L10" s="26">
        <f>K10+C14</f>
        <v>5.5</v>
      </c>
      <c r="M10" s="26">
        <f>K10+C14*2</f>
        <v>6</v>
      </c>
      <c r="N10" s="28">
        <f>K10+C14*3</f>
        <v>6.5</v>
      </c>
      <c r="O10" s="155"/>
    </row>
    <row r="11" spans="1:15" ht="15">
      <c r="A11" s="16"/>
      <c r="B11" s="20" t="s">
        <v>5</v>
      </c>
      <c r="C11" s="61">
        <f>(C9/((C10/100)*2200))</f>
        <v>0.691699604743083</v>
      </c>
      <c r="D11" s="18"/>
      <c r="E11" s="65"/>
      <c r="F11" s="66"/>
      <c r="G11" s="29" t="s">
        <v>6</v>
      </c>
      <c r="H11" s="66"/>
      <c r="I11" s="66"/>
      <c r="J11" s="66"/>
      <c r="K11" s="68"/>
      <c r="L11" s="68"/>
      <c r="M11" s="68"/>
      <c r="N11" s="69"/>
      <c r="O11" s="155"/>
    </row>
    <row r="12" spans="1:15" ht="15">
      <c r="A12" s="16"/>
      <c r="B12" s="30" t="s">
        <v>20</v>
      </c>
      <c r="C12" s="106">
        <f>'Data Entry'!C11</f>
        <v>10</v>
      </c>
      <c r="D12" s="18"/>
      <c r="E12" s="71"/>
      <c r="F12" s="70" t="s">
        <v>67</v>
      </c>
      <c r="G12" s="70" t="s">
        <v>7</v>
      </c>
      <c r="H12" s="217" t="s">
        <v>8</v>
      </c>
      <c r="I12" s="217"/>
      <c r="J12" s="217"/>
      <c r="K12" s="217"/>
      <c r="L12" s="217"/>
      <c r="M12" s="217"/>
      <c r="N12" s="218"/>
      <c r="O12" s="155"/>
    </row>
    <row r="13" spans="1:19" ht="15.75" thickBot="1">
      <c r="A13" s="16"/>
      <c r="B13" s="33" t="s">
        <v>106</v>
      </c>
      <c r="C13" s="46"/>
      <c r="D13" s="18"/>
      <c r="E13" s="72" t="s">
        <v>9</v>
      </c>
      <c r="F13" s="73" t="s">
        <v>68</v>
      </c>
      <c r="G13" s="73" t="s">
        <v>10</v>
      </c>
      <c r="H13" s="219" t="s">
        <v>18</v>
      </c>
      <c r="I13" s="219"/>
      <c r="J13" s="219"/>
      <c r="K13" s="219"/>
      <c r="L13" s="219"/>
      <c r="M13" s="219"/>
      <c r="N13" s="212"/>
      <c r="O13" s="153"/>
      <c r="P13"/>
      <c r="Q13"/>
      <c r="R13"/>
      <c r="S13"/>
    </row>
    <row r="14" spans="1:19" ht="15">
      <c r="A14" s="16"/>
      <c r="B14" s="37" t="s">
        <v>108</v>
      </c>
      <c r="C14" s="61">
        <f>'Data Entry'!C13</f>
        <v>0.5</v>
      </c>
      <c r="D14" s="18"/>
      <c r="E14" s="74" t="s">
        <v>11</v>
      </c>
      <c r="F14" s="75" t="s">
        <v>12</v>
      </c>
      <c r="G14" s="75" t="s">
        <v>12</v>
      </c>
      <c r="H14" s="41">
        <f>H10/$C$11</f>
        <v>5.06</v>
      </c>
      <c r="I14" s="41">
        <f aca="true" t="shared" si="0" ref="I14:N14">I10/$C$11</f>
        <v>5.782857142857143</v>
      </c>
      <c r="J14" s="41">
        <f t="shared" si="0"/>
        <v>6.505714285714285</v>
      </c>
      <c r="K14" s="41">
        <f>K10/$C$11</f>
        <v>7.228571428571429</v>
      </c>
      <c r="L14" s="41">
        <f t="shared" si="0"/>
        <v>7.951428571428571</v>
      </c>
      <c r="M14" s="41">
        <f t="shared" si="0"/>
        <v>8.674285714285714</v>
      </c>
      <c r="N14" s="42">
        <f t="shared" si="0"/>
        <v>9.397142857142857</v>
      </c>
      <c r="O14" s="153"/>
      <c r="P14"/>
      <c r="Q14"/>
      <c r="R14"/>
      <c r="S14"/>
    </row>
    <row r="15" spans="1:19" ht="15">
      <c r="A15" s="16"/>
      <c r="B15" s="43" t="s">
        <v>28</v>
      </c>
      <c r="C15" s="46"/>
      <c r="D15" s="18"/>
      <c r="E15" s="44">
        <f>IF((E19-4*$C$12)&lt;0,0,(E19-4*$C$12))</f>
        <v>50</v>
      </c>
      <c r="F15" s="126">
        <f>G15+(-0.0015*($C$16)^2+0.4902*($C$16))+24.75</f>
        <v>54.366</v>
      </c>
      <c r="G15" s="126">
        <f>IF(((-0.0015*(E15+$C$16)^2+0.4902*(E15+$C$16))-(-0.0015*($C$16)^2+0.4902*($C$16)))&lt;0,0,(-0.0015*(E15+$C$16)^2+0.4902*(E15+$C$16))-(-0.0015*($C$16)^2+0.4902*($C$16)))</f>
        <v>16.259999999999998</v>
      </c>
      <c r="H15" s="135">
        <f aca="true" t="shared" si="1" ref="H15:N23">(H$10*$G15)-($C$11*($E15))</f>
        <v>22.325019762845848</v>
      </c>
      <c r="I15" s="135">
        <f t="shared" si="1"/>
        <v>30.455019762845843</v>
      </c>
      <c r="J15" s="135">
        <f t="shared" si="1"/>
        <v>38.58501976284584</v>
      </c>
      <c r="K15" s="135">
        <f t="shared" si="1"/>
        <v>46.715019762845834</v>
      </c>
      <c r="L15" s="135">
        <f t="shared" si="1"/>
        <v>54.845019762845844</v>
      </c>
      <c r="M15" s="135">
        <f t="shared" si="1"/>
        <v>62.97501976284584</v>
      </c>
      <c r="N15" s="136">
        <f t="shared" si="1"/>
        <v>71.10501976284584</v>
      </c>
      <c r="O15" s="153"/>
      <c r="P15"/>
      <c r="Q15"/>
      <c r="R15"/>
      <c r="S15"/>
    </row>
    <row r="16" spans="1:19" ht="15">
      <c r="A16" s="16"/>
      <c r="B16" s="37" t="s">
        <v>29</v>
      </c>
      <c r="C16" s="107">
        <f>'Data Entry'!C15</f>
        <v>30</v>
      </c>
      <c r="D16" s="18"/>
      <c r="E16" s="44">
        <f>IF((E20-4*$C$12)&lt;0,0,(E20-4*$C$12))</f>
        <v>60</v>
      </c>
      <c r="F16" s="126">
        <f aca="true" t="shared" si="2" ref="F16:F23">G16+(-0.0015*($C$16)^2+0.4902*($C$16))+24.75</f>
        <v>56.718</v>
      </c>
      <c r="G16" s="126">
        <f aca="true" t="shared" si="3" ref="G16:G23">IF(((-0.0015*(E16+$C$16)^2+0.4902*(E16+$C$16))-(-0.0015*($C$16)^2+0.4902*($C$16)))&lt;0,0,(-0.0015*(E16+$C$16)^2+0.4902*(E16+$C$16))-(-0.0015*($C$16)^2+0.4902*($C$16)))</f>
        <v>18.612000000000002</v>
      </c>
      <c r="H16" s="135">
        <f>(H$10*$G16)-($C$11*($E16))</f>
        <v>23.640023715415026</v>
      </c>
      <c r="I16" s="135">
        <f t="shared" si="1"/>
        <v>32.94602371541502</v>
      </c>
      <c r="J16" s="135">
        <f t="shared" si="1"/>
        <v>42.25202371541502</v>
      </c>
      <c r="K16" s="135">
        <f t="shared" si="1"/>
        <v>51.55802371541502</v>
      </c>
      <c r="L16" s="135">
        <f t="shared" si="1"/>
        <v>60.86402371541503</v>
      </c>
      <c r="M16" s="135">
        <f t="shared" si="1"/>
        <v>70.17002371541503</v>
      </c>
      <c r="N16" s="136">
        <f t="shared" si="1"/>
        <v>79.47602371541502</v>
      </c>
      <c r="O16" s="153"/>
      <c r="P16"/>
      <c r="Q16"/>
      <c r="R16"/>
      <c r="S16"/>
    </row>
    <row r="17" spans="1:19" ht="15">
      <c r="A17" s="16"/>
      <c r="B17" s="43" t="s">
        <v>30</v>
      </c>
      <c r="C17" s="46"/>
      <c r="D17" s="18"/>
      <c r="E17" s="44">
        <f>IF((E21-4*$C$12)&lt;0,0,(E21-4*$C$12))</f>
        <v>70</v>
      </c>
      <c r="F17" s="126">
        <f t="shared" si="2"/>
        <v>58.77</v>
      </c>
      <c r="G17" s="126">
        <f t="shared" si="3"/>
        <v>20.664</v>
      </c>
      <c r="H17" s="135">
        <f aca="true" t="shared" si="4" ref="H17:H23">(H$10*$G17)-($C$11*($E17))</f>
        <v>23.9050276679842</v>
      </c>
      <c r="I17" s="135">
        <f t="shared" si="1"/>
        <v>34.237027667984194</v>
      </c>
      <c r="J17" s="135">
        <f t="shared" si="1"/>
        <v>44.56902766798419</v>
      </c>
      <c r="K17" s="135">
        <f t="shared" si="1"/>
        <v>54.901027667984195</v>
      </c>
      <c r="L17" s="135">
        <f t="shared" si="1"/>
        <v>65.2330276679842</v>
      </c>
      <c r="M17" s="135">
        <f t="shared" si="1"/>
        <v>75.5650276679842</v>
      </c>
      <c r="N17" s="136">
        <f t="shared" si="1"/>
        <v>85.89702766798419</v>
      </c>
      <c r="O17" s="153"/>
      <c r="P17"/>
      <c r="Q17"/>
      <c r="R17"/>
      <c r="S17"/>
    </row>
    <row r="18" spans="1:19" ht="15.75" thickBot="1">
      <c r="A18" s="16"/>
      <c r="B18" s="17"/>
      <c r="C18" s="18"/>
      <c r="D18" s="18"/>
      <c r="E18" s="44">
        <f>IF((E22-4*$C$12)&lt;0,0,(E22-4*$C$12))</f>
        <v>80</v>
      </c>
      <c r="F18" s="126">
        <f t="shared" si="2"/>
        <v>60.522000000000006</v>
      </c>
      <c r="G18" s="126">
        <f t="shared" si="3"/>
        <v>22.416000000000004</v>
      </c>
      <c r="H18" s="135">
        <f t="shared" si="4"/>
        <v>23.120031620553377</v>
      </c>
      <c r="I18" s="135">
        <f t="shared" si="1"/>
        <v>34.328031620553375</v>
      </c>
      <c r="J18" s="135">
        <f t="shared" si="1"/>
        <v>45.53603162055337</v>
      </c>
      <c r="K18" s="135">
        <f t="shared" si="1"/>
        <v>56.74403162055337</v>
      </c>
      <c r="L18" s="135">
        <f t="shared" si="1"/>
        <v>67.95203162055338</v>
      </c>
      <c r="M18" s="135">
        <f t="shared" si="1"/>
        <v>79.1600316205534</v>
      </c>
      <c r="N18" s="136">
        <f t="shared" si="1"/>
        <v>90.3680316205534</v>
      </c>
      <c r="O18" s="153"/>
      <c r="P18"/>
      <c r="Q18"/>
      <c r="R18"/>
      <c r="S18"/>
    </row>
    <row r="19" spans="1:19" ht="15.75" thickBot="1">
      <c r="A19" s="16"/>
      <c r="B19" s="47"/>
      <c r="C19" s="48"/>
      <c r="D19" s="49" t="s">
        <v>13</v>
      </c>
      <c r="E19" s="50">
        <f>'Data Entry'!F9</f>
        <v>90</v>
      </c>
      <c r="F19" s="192">
        <f t="shared" si="2"/>
        <v>61.974000000000004</v>
      </c>
      <c r="G19" s="126">
        <f t="shared" si="3"/>
        <v>23.868000000000002</v>
      </c>
      <c r="H19" s="135">
        <f t="shared" si="4"/>
        <v>21.285035573122542</v>
      </c>
      <c r="I19" s="135">
        <f t="shared" si="1"/>
        <v>33.21903557312254</v>
      </c>
      <c r="J19" s="135">
        <f t="shared" si="1"/>
        <v>45.15303557312254</v>
      </c>
      <c r="K19" s="135">
        <f t="shared" si="1"/>
        <v>57.087035573122535</v>
      </c>
      <c r="L19" s="135">
        <f t="shared" si="1"/>
        <v>69.02103557312253</v>
      </c>
      <c r="M19" s="135">
        <f t="shared" si="1"/>
        <v>80.95503557312256</v>
      </c>
      <c r="N19" s="136">
        <f t="shared" si="1"/>
        <v>92.88903557312256</v>
      </c>
      <c r="O19" s="153"/>
      <c r="P19"/>
      <c r="Q19"/>
      <c r="R19"/>
      <c r="S19"/>
    </row>
    <row r="20" spans="1:19" ht="15">
      <c r="A20" s="16"/>
      <c r="B20" s="17"/>
      <c r="C20" s="18"/>
      <c r="D20" s="18"/>
      <c r="E20" s="51">
        <f>E19+C12</f>
        <v>100</v>
      </c>
      <c r="F20" s="126">
        <f t="shared" si="2"/>
        <v>63.126000000000005</v>
      </c>
      <c r="G20" s="126">
        <f t="shared" si="3"/>
        <v>25.020000000000003</v>
      </c>
      <c r="H20" s="135">
        <f t="shared" si="4"/>
        <v>18.40003952569171</v>
      </c>
      <c r="I20" s="135">
        <f t="shared" si="1"/>
        <v>30.910039525691715</v>
      </c>
      <c r="J20" s="135">
        <f t="shared" si="1"/>
        <v>43.42003952569172</v>
      </c>
      <c r="K20" s="135">
        <f t="shared" si="1"/>
        <v>55.930039525691726</v>
      </c>
      <c r="L20" s="135">
        <f t="shared" si="1"/>
        <v>68.44003952569172</v>
      </c>
      <c r="M20" s="135">
        <f t="shared" si="1"/>
        <v>80.95003952569171</v>
      </c>
      <c r="N20" s="136">
        <f t="shared" si="1"/>
        <v>93.46003952569173</v>
      </c>
      <c r="O20" s="153"/>
      <c r="P20"/>
      <c r="Q20"/>
      <c r="R20"/>
      <c r="S20"/>
    </row>
    <row r="21" spans="1:19" ht="15">
      <c r="A21" s="16"/>
      <c r="B21" s="17"/>
      <c r="C21" s="52"/>
      <c r="D21" s="18"/>
      <c r="E21" s="51">
        <f>E19+2*C12</f>
        <v>110</v>
      </c>
      <c r="F21" s="126">
        <f t="shared" si="2"/>
        <v>63.977999999999994</v>
      </c>
      <c r="G21" s="126">
        <f t="shared" si="3"/>
        <v>25.871999999999993</v>
      </c>
      <c r="H21" s="135">
        <f t="shared" si="4"/>
        <v>14.465043478260853</v>
      </c>
      <c r="I21" s="135">
        <f t="shared" si="1"/>
        <v>27.401043478260846</v>
      </c>
      <c r="J21" s="135">
        <f t="shared" si="1"/>
        <v>40.33704347826084</v>
      </c>
      <c r="K21" s="135">
        <f t="shared" si="1"/>
        <v>53.27304347826083</v>
      </c>
      <c r="L21" s="135">
        <f t="shared" si="1"/>
        <v>66.20904347826084</v>
      </c>
      <c r="M21" s="135">
        <f t="shared" si="1"/>
        <v>79.14504347826085</v>
      </c>
      <c r="N21" s="136">
        <f t="shared" si="1"/>
        <v>92.08104347826082</v>
      </c>
      <c r="O21" s="153"/>
      <c r="P21"/>
      <c r="Q21"/>
      <c r="R21"/>
      <c r="S21"/>
    </row>
    <row r="22" spans="1:19" ht="15">
      <c r="A22" s="16"/>
      <c r="B22" s="17"/>
      <c r="C22" s="18"/>
      <c r="D22" s="18"/>
      <c r="E22" s="51">
        <f>E19+3*C12</f>
        <v>120</v>
      </c>
      <c r="F22" s="126">
        <f t="shared" si="2"/>
        <v>64.53</v>
      </c>
      <c r="G22" s="126">
        <f t="shared" si="3"/>
        <v>26.424</v>
      </c>
      <c r="H22" s="135">
        <f t="shared" si="4"/>
        <v>9.480047430830027</v>
      </c>
      <c r="I22" s="135">
        <f t="shared" si="1"/>
        <v>22.69204743083003</v>
      </c>
      <c r="J22" s="135">
        <f t="shared" si="1"/>
        <v>35.90404743083003</v>
      </c>
      <c r="K22" s="135">
        <f t="shared" si="1"/>
        <v>49.11604743083004</v>
      </c>
      <c r="L22" s="135">
        <f t="shared" si="1"/>
        <v>62.328047430830026</v>
      </c>
      <c r="M22" s="135">
        <f t="shared" si="1"/>
        <v>75.54004743083001</v>
      </c>
      <c r="N22" s="136">
        <f t="shared" si="1"/>
        <v>88.75204743083003</v>
      </c>
      <c r="O22" s="153"/>
      <c r="P22"/>
      <c r="Q22"/>
      <c r="R22"/>
      <c r="S22"/>
    </row>
    <row r="23" spans="1:19" ht="15">
      <c r="A23" s="16"/>
      <c r="B23" s="17"/>
      <c r="C23" s="18"/>
      <c r="D23" s="18"/>
      <c r="E23" s="51">
        <f>E19+4*C12</f>
        <v>130</v>
      </c>
      <c r="F23" s="126">
        <f t="shared" si="2"/>
        <v>64.78200000000001</v>
      </c>
      <c r="G23" s="126">
        <f t="shared" si="3"/>
        <v>26.676000000000002</v>
      </c>
      <c r="H23" s="135">
        <f t="shared" si="4"/>
        <v>3.4450513833992176</v>
      </c>
      <c r="I23" s="135">
        <f t="shared" si="1"/>
        <v>16.78305138339921</v>
      </c>
      <c r="J23" s="135">
        <f t="shared" si="1"/>
        <v>30.121051383399205</v>
      </c>
      <c r="K23" s="135">
        <f t="shared" si="1"/>
        <v>43.4590513833992</v>
      </c>
      <c r="L23" s="135">
        <f t="shared" si="1"/>
        <v>56.79705138339922</v>
      </c>
      <c r="M23" s="135">
        <f t="shared" si="1"/>
        <v>70.13505138339922</v>
      </c>
      <c r="N23" s="136">
        <f t="shared" si="1"/>
        <v>83.47305138339921</v>
      </c>
      <c r="O23" s="153"/>
      <c r="P23"/>
      <c r="Q23"/>
      <c r="R23"/>
      <c r="S23"/>
    </row>
    <row r="24" spans="1:19" ht="11.25" customHeight="1">
      <c r="A24" s="16"/>
      <c r="B24" s="17"/>
      <c r="C24" s="18"/>
      <c r="D24" s="18"/>
      <c r="E24" s="238" t="s">
        <v>50</v>
      </c>
      <c r="F24" s="239"/>
      <c r="G24" s="239"/>
      <c r="H24" s="239"/>
      <c r="I24" s="239"/>
      <c r="J24" s="239"/>
      <c r="K24" s="239"/>
      <c r="L24" s="239"/>
      <c r="M24" s="239"/>
      <c r="N24" s="240"/>
      <c r="O24" s="153"/>
      <c r="P24"/>
      <c r="Q24"/>
      <c r="R24"/>
      <c r="S24"/>
    </row>
    <row r="25" spans="1:19" ht="11.25" customHeight="1">
      <c r="A25" s="16"/>
      <c r="B25" s="17"/>
      <c r="C25" s="18"/>
      <c r="D25" s="18"/>
      <c r="E25" s="241" t="s">
        <v>16</v>
      </c>
      <c r="F25" s="242"/>
      <c r="G25" s="242"/>
      <c r="H25" s="242"/>
      <c r="I25" s="242"/>
      <c r="J25" s="242"/>
      <c r="K25" s="242"/>
      <c r="L25" s="242"/>
      <c r="M25" s="242"/>
      <c r="N25" s="243"/>
      <c r="O25" s="153"/>
      <c r="P25"/>
      <c r="Q25"/>
      <c r="R25"/>
      <c r="S25"/>
    </row>
    <row r="26" spans="1:19" ht="11.25" customHeight="1">
      <c r="A26" s="16"/>
      <c r="B26" s="17"/>
      <c r="C26" s="18"/>
      <c r="D26" s="18"/>
      <c r="E26" s="241" t="s">
        <v>19</v>
      </c>
      <c r="F26" s="242"/>
      <c r="G26" s="242"/>
      <c r="H26" s="242"/>
      <c r="I26" s="242"/>
      <c r="J26" s="242"/>
      <c r="K26" s="242"/>
      <c r="L26" s="242"/>
      <c r="M26" s="242"/>
      <c r="N26" s="243"/>
      <c r="O26" s="153"/>
      <c r="P26"/>
      <c r="Q26"/>
      <c r="R26"/>
      <c r="S26"/>
    </row>
    <row r="27" spans="1:19" ht="11.25" customHeight="1">
      <c r="A27" s="16"/>
      <c r="B27" s="17"/>
      <c r="C27" s="18"/>
      <c r="D27" s="18"/>
      <c r="E27" s="249" t="s">
        <v>85</v>
      </c>
      <c r="F27" s="250"/>
      <c r="G27" s="250"/>
      <c r="H27" s="250"/>
      <c r="I27" s="250"/>
      <c r="J27" s="250"/>
      <c r="K27" s="251"/>
      <c r="L27" s="251"/>
      <c r="M27" s="251"/>
      <c r="N27" s="252"/>
      <c r="O27" s="153"/>
      <c r="P27"/>
      <c r="Q27"/>
      <c r="R27"/>
      <c r="S27"/>
    </row>
    <row r="28" spans="1:19" ht="11.25" customHeight="1" thickBot="1">
      <c r="A28" s="16"/>
      <c r="B28" s="17"/>
      <c r="C28" s="18"/>
      <c r="D28" s="18"/>
      <c r="E28" s="244" t="s">
        <v>38</v>
      </c>
      <c r="F28" s="245"/>
      <c r="G28" s="246"/>
      <c r="H28" s="246"/>
      <c r="I28" s="246"/>
      <c r="J28" s="246"/>
      <c r="K28" s="247"/>
      <c r="L28" s="247"/>
      <c r="M28" s="247"/>
      <c r="N28" s="248"/>
      <c r="O28" s="153"/>
      <c r="P28"/>
      <c r="Q28"/>
      <c r="R28"/>
      <c r="S28"/>
    </row>
    <row r="29" spans="1:24" ht="11.25" customHeight="1">
      <c r="A29" s="16"/>
      <c r="B29" s="17"/>
      <c r="C29" s="18"/>
      <c r="D29" s="18"/>
      <c r="E29" s="53"/>
      <c r="F29" s="53"/>
      <c r="G29" s="53"/>
      <c r="H29" s="53"/>
      <c r="I29" s="53"/>
      <c r="J29" s="53"/>
      <c r="K29" s="12"/>
      <c r="L29" s="12"/>
      <c r="M29" s="12"/>
      <c r="N29" s="15"/>
      <c r="O29" s="153"/>
      <c r="P29"/>
      <c r="Q29"/>
      <c r="R29"/>
      <c r="S29"/>
      <c r="T29"/>
      <c r="U29"/>
      <c r="V29"/>
      <c r="W29"/>
      <c r="X29"/>
    </row>
    <row r="30" spans="2:24" ht="11.25" customHeight="1" thickBot="1">
      <c r="B30" s="215"/>
      <c r="C30" s="216"/>
      <c r="D30" s="216"/>
      <c r="E30" s="216"/>
      <c r="F30" s="216"/>
      <c r="G30" s="216"/>
      <c r="H30" s="216"/>
      <c r="I30" s="216"/>
      <c r="J30" s="216"/>
      <c r="K30" s="55"/>
      <c r="L30" s="55"/>
      <c r="M30" s="55"/>
      <c r="N30" s="56"/>
      <c r="O30" s="153"/>
      <c r="P30"/>
      <c r="Q30"/>
      <c r="R30"/>
      <c r="S30"/>
      <c r="T30"/>
      <c r="U30"/>
      <c r="V30"/>
      <c r="W30"/>
      <c r="X30"/>
    </row>
    <row r="31" spans="1:15" ht="4.5" customHeight="1" thickBot="1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2"/>
      <c r="L31" s="12"/>
      <c r="M31" s="12"/>
      <c r="N31" s="15"/>
      <c r="O31" s="155"/>
    </row>
    <row r="32" spans="1:15" ht="15.75" customHeight="1" thickBot="1">
      <c r="A32" s="16"/>
      <c r="B32" s="234" t="s">
        <v>39</v>
      </c>
      <c r="C32" s="235"/>
      <c r="E32" s="18"/>
      <c r="F32" s="18"/>
      <c r="G32" s="18"/>
      <c r="H32" s="18"/>
      <c r="I32" s="19"/>
      <c r="J32" s="18"/>
      <c r="K32" s="19"/>
      <c r="L32" s="12"/>
      <c r="M32" s="12"/>
      <c r="N32" s="15"/>
      <c r="O32" s="155"/>
    </row>
    <row r="33" spans="1:15" ht="15" customHeight="1">
      <c r="A33" s="16"/>
      <c r="B33" s="87" t="s">
        <v>1</v>
      </c>
      <c r="C33" s="167" t="str">
        <f>'Data Entry'!C7</f>
        <v>UREA</v>
      </c>
      <c r="D33" s="18"/>
      <c r="F33" s="62"/>
      <c r="G33" s="213" t="s">
        <v>102</v>
      </c>
      <c r="H33" s="63"/>
      <c r="I33" s="236" t="s">
        <v>17</v>
      </c>
      <c r="J33" s="237"/>
      <c r="K33" s="237"/>
      <c r="L33" s="237"/>
      <c r="M33" s="237"/>
      <c r="N33" s="64"/>
      <c r="O33" s="155"/>
    </row>
    <row r="34" spans="1:15" ht="15" customHeight="1">
      <c r="A34" s="16"/>
      <c r="B34" s="20" t="s">
        <v>3</v>
      </c>
      <c r="C34" s="59">
        <f>'Data Entry'!C8</f>
        <v>700</v>
      </c>
      <c r="D34" s="18"/>
      <c r="F34" s="65"/>
      <c r="G34" s="214"/>
      <c r="H34" s="66"/>
      <c r="I34" s="67"/>
      <c r="J34" s="66"/>
      <c r="K34" s="67"/>
      <c r="L34" s="68"/>
      <c r="M34" s="68"/>
      <c r="N34" s="69"/>
      <c r="O34" s="155"/>
    </row>
    <row r="35" spans="1:15" ht="15">
      <c r="A35" s="16"/>
      <c r="B35" s="20" t="s">
        <v>4</v>
      </c>
      <c r="C35" s="25">
        <f>'Data Entry'!C9</f>
        <v>46</v>
      </c>
      <c r="D35" s="18"/>
      <c r="F35" s="65"/>
      <c r="G35" s="214"/>
      <c r="H35" s="26">
        <f>K35-C39*3</f>
        <v>3.5</v>
      </c>
      <c r="I35" s="26">
        <f>K35-C39*2</f>
        <v>4</v>
      </c>
      <c r="J35" s="26">
        <f>K35-C39</f>
        <v>4.5</v>
      </c>
      <c r="K35" s="27">
        <f>'Data Entry'!F14</f>
        <v>5</v>
      </c>
      <c r="L35" s="26">
        <f>K35+C39</f>
        <v>5.5</v>
      </c>
      <c r="M35" s="26">
        <f>K35+C39*2</f>
        <v>6</v>
      </c>
      <c r="N35" s="28">
        <f>K35+C39*3</f>
        <v>6.5</v>
      </c>
      <c r="O35" s="155"/>
    </row>
    <row r="36" spans="1:15" ht="15">
      <c r="A36" s="16"/>
      <c r="B36" s="20" t="s">
        <v>5</v>
      </c>
      <c r="C36" s="61">
        <f>(C34/((C35/100)*2200))</f>
        <v>0.691699604743083</v>
      </c>
      <c r="D36" s="18"/>
      <c r="F36" s="65"/>
      <c r="G36" s="29" t="s">
        <v>6</v>
      </c>
      <c r="H36" s="66"/>
      <c r="I36" s="66"/>
      <c r="J36" s="66"/>
      <c r="K36" s="68"/>
      <c r="L36" s="68"/>
      <c r="M36" s="68"/>
      <c r="N36" s="69"/>
      <c r="O36" s="155"/>
    </row>
    <row r="37" spans="1:15" ht="15">
      <c r="A37" s="16"/>
      <c r="B37" s="30" t="s">
        <v>20</v>
      </c>
      <c r="C37" s="106">
        <f>'Data Entry'!C11</f>
        <v>10</v>
      </c>
      <c r="D37" s="18"/>
      <c r="F37" s="71"/>
      <c r="G37" s="70" t="s">
        <v>7</v>
      </c>
      <c r="H37" s="217" t="s">
        <v>112</v>
      </c>
      <c r="I37" s="217"/>
      <c r="J37" s="217"/>
      <c r="K37" s="217"/>
      <c r="L37" s="217"/>
      <c r="M37" s="217"/>
      <c r="N37" s="218"/>
      <c r="O37" s="155"/>
    </row>
    <row r="38" spans="1:19" ht="15.75" thickBot="1">
      <c r="A38" s="16"/>
      <c r="B38" s="33" t="s">
        <v>106</v>
      </c>
      <c r="C38" s="46"/>
      <c r="D38" s="18"/>
      <c r="F38" s="72" t="s">
        <v>9</v>
      </c>
      <c r="G38" s="73" t="s">
        <v>10</v>
      </c>
      <c r="H38" s="219" t="s">
        <v>18</v>
      </c>
      <c r="I38" s="219"/>
      <c r="J38" s="219"/>
      <c r="K38" s="219"/>
      <c r="L38" s="219"/>
      <c r="M38" s="219"/>
      <c r="N38" s="212"/>
      <c r="O38" s="153"/>
      <c r="P38"/>
      <c r="Q38"/>
      <c r="R38"/>
      <c r="S38"/>
    </row>
    <row r="39" spans="1:19" ht="15">
      <c r="A39" s="16"/>
      <c r="B39" s="37" t="s">
        <v>108</v>
      </c>
      <c r="C39" s="61">
        <f>'Data Entry'!C13</f>
        <v>0.5</v>
      </c>
      <c r="D39" s="18"/>
      <c r="F39" s="74" t="s">
        <v>11</v>
      </c>
      <c r="G39" s="75" t="s">
        <v>12</v>
      </c>
      <c r="H39" s="41">
        <f aca="true" t="shared" si="5" ref="H39:N39">H35/$C$11</f>
        <v>5.06</v>
      </c>
      <c r="I39" s="41">
        <f t="shared" si="5"/>
        <v>5.782857142857143</v>
      </c>
      <c r="J39" s="41">
        <f t="shared" si="5"/>
        <v>6.505714285714285</v>
      </c>
      <c r="K39" s="41">
        <f t="shared" si="5"/>
        <v>7.228571428571429</v>
      </c>
      <c r="L39" s="41">
        <f t="shared" si="5"/>
        <v>7.951428571428571</v>
      </c>
      <c r="M39" s="41">
        <f t="shared" si="5"/>
        <v>8.674285714285714</v>
      </c>
      <c r="N39" s="42">
        <f t="shared" si="5"/>
        <v>9.397142857142857</v>
      </c>
      <c r="O39" s="153"/>
      <c r="P39"/>
      <c r="Q39"/>
      <c r="R39"/>
      <c r="S39"/>
    </row>
    <row r="40" spans="1:19" ht="15">
      <c r="A40" s="16"/>
      <c r="B40" s="43" t="s">
        <v>28</v>
      </c>
      <c r="C40" s="46"/>
      <c r="D40" s="18"/>
      <c r="F40" s="190">
        <f>IF((F44-4*$C$12)&lt;0,0,(F44-4*$C$12))</f>
        <v>50</v>
      </c>
      <c r="G40" s="126">
        <f>G15+(-0.0015*($C$16)^2+0.4902*($C$16))+24.75</f>
        <v>54.366</v>
      </c>
      <c r="H40" s="135">
        <f aca="true" t="shared" si="6" ref="H40:N48">(H$10*$G40)-($C$11*($F40))</f>
        <v>155.69601976284585</v>
      </c>
      <c r="I40" s="135">
        <f t="shared" si="6"/>
        <v>182.87901976284584</v>
      </c>
      <c r="J40" s="135">
        <f t="shared" si="6"/>
        <v>210.06201976284584</v>
      </c>
      <c r="K40" s="135">
        <f t="shared" si="6"/>
        <v>237.24501976284583</v>
      </c>
      <c r="L40" s="135">
        <f t="shared" si="6"/>
        <v>264.42801976284585</v>
      </c>
      <c r="M40" s="135">
        <f t="shared" si="6"/>
        <v>291.6110197628459</v>
      </c>
      <c r="N40" s="136">
        <f t="shared" si="6"/>
        <v>318.7940197628459</v>
      </c>
      <c r="O40" s="153"/>
      <c r="P40"/>
      <c r="Q40"/>
      <c r="R40"/>
      <c r="S40"/>
    </row>
    <row r="41" spans="1:19" ht="15">
      <c r="A41" s="16"/>
      <c r="B41" s="37" t="s">
        <v>29</v>
      </c>
      <c r="C41" s="107">
        <f>'Data Entry'!C15</f>
        <v>30</v>
      </c>
      <c r="D41" s="18"/>
      <c r="F41" s="190">
        <f>IF((F45-4*$C$12)&lt;0,0,(F45-4*$C$12))</f>
        <v>60</v>
      </c>
      <c r="G41" s="126">
        <f aca="true" t="shared" si="7" ref="G41:G48">G16+(-0.0015*($C$16)^2+0.4902*($C$16))+24.75</f>
        <v>56.718</v>
      </c>
      <c r="H41" s="135">
        <f t="shared" si="6"/>
        <v>157.01102371541504</v>
      </c>
      <c r="I41" s="135">
        <f t="shared" si="6"/>
        <v>185.37002371541502</v>
      </c>
      <c r="J41" s="135">
        <f t="shared" si="6"/>
        <v>213.72902371541505</v>
      </c>
      <c r="K41" s="135">
        <f t="shared" si="6"/>
        <v>242.08802371541503</v>
      </c>
      <c r="L41" s="135">
        <f t="shared" si="6"/>
        <v>270.447023715415</v>
      </c>
      <c r="M41" s="135">
        <f t="shared" si="6"/>
        <v>298.806023715415</v>
      </c>
      <c r="N41" s="136">
        <f t="shared" si="6"/>
        <v>327.16502371541503</v>
      </c>
      <c r="O41" s="153"/>
      <c r="P41"/>
      <c r="Q41"/>
      <c r="R41"/>
      <c r="S41"/>
    </row>
    <row r="42" spans="1:19" ht="15">
      <c r="A42" s="16"/>
      <c r="B42" s="43" t="s">
        <v>30</v>
      </c>
      <c r="C42" s="46"/>
      <c r="D42" s="18"/>
      <c r="F42" s="190">
        <f>IF((F46-4*$C$12)&lt;0,0,(F46-4*$C$12))</f>
        <v>70</v>
      </c>
      <c r="G42" s="126">
        <f t="shared" si="7"/>
        <v>58.77</v>
      </c>
      <c r="H42" s="135">
        <f t="shared" si="6"/>
        <v>157.2760276679842</v>
      </c>
      <c r="I42" s="135">
        <f t="shared" si="6"/>
        <v>186.6610276679842</v>
      </c>
      <c r="J42" s="135">
        <f t="shared" si="6"/>
        <v>216.04602766798422</v>
      </c>
      <c r="K42" s="135">
        <f t="shared" si="6"/>
        <v>245.4310276679842</v>
      </c>
      <c r="L42" s="135">
        <f t="shared" si="6"/>
        <v>274.8160276679842</v>
      </c>
      <c r="M42" s="135">
        <f t="shared" si="6"/>
        <v>304.2010276679842</v>
      </c>
      <c r="N42" s="136">
        <f t="shared" si="6"/>
        <v>333.5860276679842</v>
      </c>
      <c r="O42" s="153"/>
      <c r="P42"/>
      <c r="Q42"/>
      <c r="R42"/>
      <c r="S42"/>
    </row>
    <row r="43" spans="1:19" ht="15.75" thickBot="1">
      <c r="A43" s="16"/>
      <c r="B43" s="17"/>
      <c r="C43" s="18"/>
      <c r="D43" s="18"/>
      <c r="F43" s="193">
        <f>IF((F47-4*$C$12)&lt;0,0,(F47-4*$C$12))</f>
        <v>80</v>
      </c>
      <c r="G43" s="126">
        <f t="shared" si="7"/>
        <v>60.522000000000006</v>
      </c>
      <c r="H43" s="135">
        <f t="shared" si="6"/>
        <v>156.49103162055337</v>
      </c>
      <c r="I43" s="135">
        <f t="shared" si="6"/>
        <v>186.7520316205534</v>
      </c>
      <c r="J43" s="135">
        <f t="shared" si="6"/>
        <v>217.01303162055342</v>
      </c>
      <c r="K43" s="135">
        <f t="shared" si="6"/>
        <v>247.2740316205534</v>
      </c>
      <c r="L43" s="135">
        <f t="shared" si="6"/>
        <v>277.5350316205534</v>
      </c>
      <c r="M43" s="135">
        <f t="shared" si="6"/>
        <v>307.79603162055344</v>
      </c>
      <c r="N43" s="136">
        <f t="shared" si="6"/>
        <v>338.0570316205534</v>
      </c>
      <c r="O43" s="153"/>
      <c r="P43"/>
      <c r="Q43"/>
      <c r="R43"/>
      <c r="S43"/>
    </row>
    <row r="44" spans="1:19" ht="15.75" thickBot="1">
      <c r="A44" s="16"/>
      <c r="B44" s="47"/>
      <c r="C44" s="48"/>
      <c r="E44" s="49" t="s">
        <v>13</v>
      </c>
      <c r="F44" s="50">
        <f>E19</f>
        <v>90</v>
      </c>
      <c r="G44" s="192">
        <f t="shared" si="7"/>
        <v>61.974000000000004</v>
      </c>
      <c r="H44" s="135">
        <f t="shared" si="6"/>
        <v>154.65603557312255</v>
      </c>
      <c r="I44" s="135">
        <f t="shared" si="6"/>
        <v>185.64303557312255</v>
      </c>
      <c r="J44" s="135">
        <f t="shared" si="6"/>
        <v>216.63003557312257</v>
      </c>
      <c r="K44" s="135">
        <f t="shared" si="6"/>
        <v>247.61703557312254</v>
      </c>
      <c r="L44" s="135">
        <f t="shared" si="6"/>
        <v>278.6040355731226</v>
      </c>
      <c r="M44" s="135">
        <f t="shared" si="6"/>
        <v>309.59103557312255</v>
      </c>
      <c r="N44" s="136">
        <f t="shared" si="6"/>
        <v>340.5780355731225</v>
      </c>
      <c r="O44" s="153"/>
      <c r="P44"/>
      <c r="Q44"/>
      <c r="R44"/>
      <c r="S44"/>
    </row>
    <row r="45" spans="1:19" ht="15">
      <c r="A45" s="16"/>
      <c r="B45" s="17"/>
      <c r="C45" s="18"/>
      <c r="D45" s="18"/>
      <c r="F45" s="194">
        <f>F44+C37</f>
        <v>100</v>
      </c>
      <c r="G45" s="126">
        <f t="shared" si="7"/>
        <v>63.126000000000005</v>
      </c>
      <c r="H45" s="135">
        <f t="shared" si="6"/>
        <v>151.77103952569172</v>
      </c>
      <c r="I45" s="135">
        <f t="shared" si="6"/>
        <v>183.3340395256917</v>
      </c>
      <c r="J45" s="135">
        <f t="shared" si="6"/>
        <v>214.8970395256917</v>
      </c>
      <c r="K45" s="135">
        <f t="shared" si="6"/>
        <v>246.46003952569168</v>
      </c>
      <c r="L45" s="135">
        <f t="shared" si="6"/>
        <v>278.02303952569173</v>
      </c>
      <c r="M45" s="135">
        <f t="shared" si="6"/>
        <v>309.5860395256917</v>
      </c>
      <c r="N45" s="136">
        <f t="shared" si="6"/>
        <v>341.1490395256917</v>
      </c>
      <c r="O45" s="153"/>
      <c r="P45"/>
      <c r="Q45"/>
      <c r="R45"/>
      <c r="S45"/>
    </row>
    <row r="46" spans="1:19" ht="15">
      <c r="A46" s="16"/>
      <c r="B46" s="17"/>
      <c r="C46" s="52"/>
      <c r="D46" s="18"/>
      <c r="F46" s="190">
        <f>F44+2*C37</f>
        <v>110</v>
      </c>
      <c r="G46" s="126">
        <f t="shared" si="7"/>
        <v>63.977999999999994</v>
      </c>
      <c r="H46" s="135">
        <f t="shared" si="6"/>
        <v>147.83604347826085</v>
      </c>
      <c r="I46" s="135">
        <f t="shared" si="6"/>
        <v>179.82504347826085</v>
      </c>
      <c r="J46" s="135">
        <f t="shared" si="6"/>
        <v>211.81404347826083</v>
      </c>
      <c r="K46" s="135">
        <f t="shared" si="6"/>
        <v>243.80304347826086</v>
      </c>
      <c r="L46" s="135">
        <f t="shared" si="6"/>
        <v>275.79204347826084</v>
      </c>
      <c r="M46" s="135">
        <f t="shared" si="6"/>
        <v>307.7810434782608</v>
      </c>
      <c r="N46" s="136">
        <f t="shared" si="6"/>
        <v>339.77004347826085</v>
      </c>
      <c r="O46" s="153"/>
      <c r="P46"/>
      <c r="Q46"/>
      <c r="R46"/>
      <c r="S46"/>
    </row>
    <row r="47" spans="1:19" ht="15">
      <c r="A47" s="16"/>
      <c r="B47" s="17"/>
      <c r="C47" s="18"/>
      <c r="D47" s="18"/>
      <c r="F47" s="190">
        <f>F44+3*C37</f>
        <v>120</v>
      </c>
      <c r="G47" s="126">
        <f t="shared" si="7"/>
        <v>64.53</v>
      </c>
      <c r="H47" s="135">
        <f t="shared" si="6"/>
        <v>142.85104743083005</v>
      </c>
      <c r="I47" s="135">
        <f t="shared" si="6"/>
        <v>175.11604743083004</v>
      </c>
      <c r="J47" s="135">
        <f t="shared" si="6"/>
        <v>207.38104743083002</v>
      </c>
      <c r="K47" s="135">
        <f t="shared" si="6"/>
        <v>239.64604743083</v>
      </c>
      <c r="L47" s="135">
        <f t="shared" si="6"/>
        <v>271.9110474308301</v>
      </c>
      <c r="M47" s="135">
        <f t="shared" si="6"/>
        <v>304.17604743083007</v>
      </c>
      <c r="N47" s="136">
        <f t="shared" si="6"/>
        <v>336.44104743083005</v>
      </c>
      <c r="O47" s="153"/>
      <c r="P47"/>
      <c r="Q47"/>
      <c r="R47"/>
      <c r="S47"/>
    </row>
    <row r="48" spans="1:19" ht="15">
      <c r="A48" s="16"/>
      <c r="B48" s="17"/>
      <c r="C48" s="18"/>
      <c r="D48" s="18"/>
      <c r="F48" s="190">
        <f>F44+4*C37</f>
        <v>130</v>
      </c>
      <c r="G48" s="126">
        <f t="shared" si="7"/>
        <v>64.78200000000001</v>
      </c>
      <c r="H48" s="135">
        <f t="shared" si="6"/>
        <v>136.8160513833992</v>
      </c>
      <c r="I48" s="135">
        <f t="shared" si="6"/>
        <v>169.20705138339923</v>
      </c>
      <c r="J48" s="135">
        <f t="shared" si="6"/>
        <v>201.59805138339925</v>
      </c>
      <c r="K48" s="135">
        <f t="shared" si="6"/>
        <v>233.98905138339927</v>
      </c>
      <c r="L48" s="135">
        <f t="shared" si="6"/>
        <v>266.38005138339923</v>
      </c>
      <c r="M48" s="135">
        <f t="shared" si="6"/>
        <v>298.77105138339925</v>
      </c>
      <c r="N48" s="136">
        <f t="shared" si="6"/>
        <v>331.1620513833993</v>
      </c>
      <c r="O48" s="153"/>
      <c r="P48"/>
      <c r="Q48"/>
      <c r="R48"/>
      <c r="S48"/>
    </row>
    <row r="49" spans="1:19" ht="11.25" customHeight="1">
      <c r="A49" s="16"/>
      <c r="B49" s="17"/>
      <c r="C49" s="18"/>
      <c r="D49" s="18"/>
      <c r="F49" s="180" t="s">
        <v>50</v>
      </c>
      <c r="G49" s="181"/>
      <c r="H49" s="181"/>
      <c r="I49" s="181"/>
      <c r="J49" s="181"/>
      <c r="K49" s="181"/>
      <c r="L49" s="181"/>
      <c r="M49" s="181"/>
      <c r="N49" s="182"/>
      <c r="O49" s="153"/>
      <c r="P49"/>
      <c r="Q49"/>
      <c r="R49"/>
      <c r="S49"/>
    </row>
    <row r="50" spans="1:19" ht="11.25" customHeight="1">
      <c r="A50" s="16"/>
      <c r="B50" s="17"/>
      <c r="C50" s="18"/>
      <c r="D50" s="18"/>
      <c r="F50" s="183" t="s">
        <v>16</v>
      </c>
      <c r="G50" s="184"/>
      <c r="H50" s="184"/>
      <c r="I50" s="184"/>
      <c r="J50" s="184"/>
      <c r="K50" s="184"/>
      <c r="L50" s="184"/>
      <c r="M50" s="184"/>
      <c r="N50" s="185"/>
      <c r="O50" s="153"/>
      <c r="P50"/>
      <c r="Q50"/>
      <c r="R50"/>
      <c r="S50"/>
    </row>
    <row r="51" spans="1:19" ht="11.25" customHeight="1">
      <c r="A51" s="16"/>
      <c r="B51" s="17"/>
      <c r="C51" s="18"/>
      <c r="D51" s="18"/>
      <c r="F51" s="183" t="s">
        <v>99</v>
      </c>
      <c r="G51" s="184"/>
      <c r="H51" s="184"/>
      <c r="I51" s="184"/>
      <c r="J51" s="184"/>
      <c r="K51" s="184"/>
      <c r="L51" s="184"/>
      <c r="M51" s="184"/>
      <c r="N51" s="185"/>
      <c r="O51" s="153"/>
      <c r="P51"/>
      <c r="Q51"/>
      <c r="R51"/>
      <c r="S51"/>
    </row>
    <row r="52" spans="1:19" ht="11.25" customHeight="1">
      <c r="A52" s="16"/>
      <c r="B52" s="17"/>
      <c r="C52" s="18"/>
      <c r="D52" s="18"/>
      <c r="F52" s="79" t="s">
        <v>85</v>
      </c>
      <c r="G52" s="80"/>
      <c r="H52" s="80"/>
      <c r="I52" s="80"/>
      <c r="J52" s="80"/>
      <c r="K52" s="130"/>
      <c r="L52" s="130"/>
      <c r="M52" s="130"/>
      <c r="N52" s="166"/>
      <c r="O52" s="153"/>
      <c r="P52"/>
      <c r="Q52"/>
      <c r="R52"/>
      <c r="S52"/>
    </row>
    <row r="53" spans="1:19" ht="11.25" customHeight="1" thickBot="1">
      <c r="A53" s="16"/>
      <c r="B53" s="17"/>
      <c r="C53" s="18"/>
      <c r="D53" s="18"/>
      <c r="F53" s="186" t="s">
        <v>38</v>
      </c>
      <c r="G53" s="187"/>
      <c r="H53" s="187"/>
      <c r="I53" s="187"/>
      <c r="J53" s="187"/>
      <c r="K53" s="168"/>
      <c r="L53" s="168"/>
      <c r="M53" s="168"/>
      <c r="N53" s="169"/>
      <c r="O53" s="153"/>
      <c r="P53"/>
      <c r="Q53"/>
      <c r="R53"/>
      <c r="S53"/>
    </row>
    <row r="54" spans="1:24" ht="11.25" customHeight="1">
      <c r="A54" s="16"/>
      <c r="B54" s="17"/>
      <c r="C54" s="18"/>
      <c r="D54" s="18"/>
      <c r="E54" s="53"/>
      <c r="F54" s="53"/>
      <c r="G54" s="53"/>
      <c r="H54" s="53"/>
      <c r="I54" s="53"/>
      <c r="J54" s="53"/>
      <c r="K54" s="12"/>
      <c r="L54" s="12"/>
      <c r="M54" s="12"/>
      <c r="N54" s="15"/>
      <c r="O54" s="153"/>
      <c r="P54"/>
      <c r="Q54"/>
      <c r="R54"/>
      <c r="S54"/>
      <c r="T54"/>
      <c r="U54"/>
      <c r="V54"/>
      <c r="W54"/>
      <c r="X54"/>
    </row>
    <row r="55" spans="2:24" ht="11.25" customHeight="1" thickBot="1">
      <c r="B55" s="215"/>
      <c r="C55" s="216"/>
      <c r="D55" s="216"/>
      <c r="E55" s="216"/>
      <c r="F55" s="216"/>
      <c r="G55" s="216"/>
      <c r="H55" s="216"/>
      <c r="I55" s="216"/>
      <c r="J55" s="216"/>
      <c r="K55" s="55"/>
      <c r="L55" s="55"/>
      <c r="M55" s="55"/>
      <c r="N55" s="56"/>
      <c r="O55" s="153"/>
      <c r="P55"/>
      <c r="Q55"/>
      <c r="R55"/>
      <c r="S55"/>
      <c r="T55"/>
      <c r="U55"/>
      <c r="V55"/>
      <c r="W55"/>
      <c r="X55"/>
    </row>
    <row r="56" spans="15:19" ht="12.75">
      <c r="O56" s="153"/>
      <c r="P56"/>
      <c r="Q56"/>
      <c r="R56"/>
      <c r="S56"/>
    </row>
  </sheetData>
  <sheetProtection password="CF3B" sheet="1" objects="1" scenarios="1"/>
  <mergeCells count="22">
    <mergeCell ref="H12:N12"/>
    <mergeCell ref="G8:G10"/>
    <mergeCell ref="E5:G5"/>
    <mergeCell ref="B2:N2"/>
    <mergeCell ref="B3:N3"/>
    <mergeCell ref="B7:C7"/>
    <mergeCell ref="I8:M8"/>
    <mergeCell ref="H5:K5"/>
    <mergeCell ref="L5:N5"/>
    <mergeCell ref="H13:N13"/>
    <mergeCell ref="E24:N24"/>
    <mergeCell ref="B30:J30"/>
    <mergeCell ref="E25:N25"/>
    <mergeCell ref="E26:N26"/>
    <mergeCell ref="E28:N28"/>
    <mergeCell ref="E27:N27"/>
    <mergeCell ref="B32:C32"/>
    <mergeCell ref="I33:M33"/>
    <mergeCell ref="G33:G35"/>
    <mergeCell ref="B55:J55"/>
    <mergeCell ref="H37:N37"/>
    <mergeCell ref="H38:N38"/>
  </mergeCells>
  <conditionalFormatting sqref="H15:H23">
    <cfRule type="cellIs" priority="1" dxfId="0" operator="between" stopIfTrue="1">
      <formula>MAX($H$15:$H$23)-0.5</formula>
      <formula>MAX($H$15:$H$23)+0.5</formula>
    </cfRule>
    <cfRule type="cellIs" priority="2" dxfId="1" operator="between" stopIfTrue="1">
      <formula>MAX($H$15:$H$23)-0.5</formula>
      <formula>MAX($H$15:$H$23)-1.5</formula>
    </cfRule>
    <cfRule type="cellIs" priority="3" dxfId="1" operator="between" stopIfTrue="1">
      <formula>MAX($H$15:$H$23)+0.5</formula>
      <formula>MAX($H$15:$H$23)+1.5</formula>
    </cfRule>
  </conditionalFormatting>
  <conditionalFormatting sqref="I15:I23">
    <cfRule type="cellIs" priority="4" dxfId="0" operator="between" stopIfTrue="1">
      <formula>MAX($I$15:$I$23)-0.5</formula>
      <formula>MAX($I$15:$I$23)+0.5</formula>
    </cfRule>
    <cfRule type="cellIs" priority="5" dxfId="1" operator="between" stopIfTrue="1">
      <formula>MAX($I$15:$I$23)-0.5</formula>
      <formula>MAX($I$15:$I$23)-1.5</formula>
    </cfRule>
    <cfRule type="cellIs" priority="6" dxfId="1" operator="between" stopIfTrue="1">
      <formula>MAX($I$15:$I$23)+0.5</formula>
      <formula>MAX($I$15:$I$23)+1.5</formula>
    </cfRule>
  </conditionalFormatting>
  <conditionalFormatting sqref="J15:J23">
    <cfRule type="cellIs" priority="7" dxfId="0" operator="between" stopIfTrue="1">
      <formula>MAX($J$15:$J$23)-0.5</formula>
      <formula>MAX($J$15:$J$23)+0.5</formula>
    </cfRule>
    <cfRule type="cellIs" priority="8" dxfId="1" operator="between" stopIfTrue="1">
      <formula>MAX($J$15:$J$23)-0.5</formula>
      <formula>MAX($J$15:$J$23)-1.5</formula>
    </cfRule>
    <cfRule type="cellIs" priority="9" dxfId="1" operator="between" stopIfTrue="1">
      <formula>MAX($J$15:$J$23)+0.5</formula>
      <formula>MAX($J$15:$J$23)+1.5</formula>
    </cfRule>
  </conditionalFormatting>
  <conditionalFormatting sqref="K15:K23">
    <cfRule type="cellIs" priority="10" dxfId="0" operator="between" stopIfTrue="1">
      <formula>MAX($K$15:$K$23)-0.5</formula>
      <formula>MAX($K$15:$K$23)+0.5</formula>
    </cfRule>
    <cfRule type="cellIs" priority="11" dxfId="1" operator="between" stopIfTrue="1">
      <formula>MAX($K$15:$K$23)-0.5</formula>
      <formula>MAX($K$15:$K$23)-1.5</formula>
    </cfRule>
    <cfRule type="cellIs" priority="12" dxfId="1" operator="between" stopIfTrue="1">
      <formula>MAX($K$15:$K$23)+0.5</formula>
      <formula>MAX($K$15:$K$23)+1.5</formula>
    </cfRule>
  </conditionalFormatting>
  <conditionalFormatting sqref="L15:L23">
    <cfRule type="cellIs" priority="13" dxfId="0" operator="between" stopIfTrue="1">
      <formula>MAX($L$15:$L$23)-0.5</formula>
      <formula>MAX($L$15:$L$23)+0.5</formula>
    </cfRule>
    <cfRule type="cellIs" priority="14" dxfId="1" operator="between" stopIfTrue="1">
      <formula>MAX($L$15:$L$23)-0.5</formula>
      <formula>MAX($L$15:$L$23)-1.5</formula>
    </cfRule>
    <cfRule type="cellIs" priority="15" dxfId="1" operator="between" stopIfTrue="1">
      <formula>MAX($L$15:$L$23)+0.5</formula>
      <formula>MAX($L$15:$L$23)+1.5</formula>
    </cfRule>
  </conditionalFormatting>
  <conditionalFormatting sqref="M15:M23">
    <cfRule type="cellIs" priority="16" dxfId="0" operator="between" stopIfTrue="1">
      <formula>MAX($M$15:$M$23)-0.5</formula>
      <formula>MAX($M$15:$M$23)+0.5</formula>
    </cfRule>
    <cfRule type="cellIs" priority="17" dxfId="1" operator="between" stopIfTrue="1">
      <formula>MAX($M$15:$M$23)-0.5</formula>
      <formula>MAX($M$15:$M$23)-1.5</formula>
    </cfRule>
    <cfRule type="cellIs" priority="18" dxfId="1" operator="between" stopIfTrue="1">
      <formula>MAX($M$15:$M$23)=0.5</formula>
      <formula>MAX($M$15:$M$23)+1.5</formula>
    </cfRule>
  </conditionalFormatting>
  <conditionalFormatting sqref="N15:N23">
    <cfRule type="cellIs" priority="19" dxfId="0" operator="between" stopIfTrue="1">
      <formula>MAX($N$15:$N$23)-0.5</formula>
      <formula>MAX($N$15:$N$23)+0.5</formula>
    </cfRule>
    <cfRule type="cellIs" priority="20" dxfId="1" operator="between" stopIfTrue="1">
      <formula>MAX($N$15:$N$23)-0.5</formula>
      <formula>MAX($N$15:$N$23)-1.5</formula>
    </cfRule>
    <cfRule type="cellIs" priority="21" dxfId="1" operator="between" stopIfTrue="1">
      <formula>MAX($N$15:$N$23)+0.5</formula>
      <formula>MAX($N$15:$N$23)+1.5</formula>
    </cfRule>
  </conditionalFormatting>
  <conditionalFormatting sqref="H40:H48">
    <cfRule type="cellIs" priority="22" dxfId="0" operator="between" stopIfTrue="1">
      <formula>MAX($H$40:$H$48)-0.5</formula>
      <formula>MAX($H$40:$H$48)+0.5</formula>
    </cfRule>
    <cfRule type="cellIs" priority="23" dxfId="1" operator="between" stopIfTrue="1">
      <formula>MAX($H$40:$H$48)-0.5</formula>
      <formula>MAX($H$40:$H$48)-1.5</formula>
    </cfRule>
    <cfRule type="cellIs" priority="24" dxfId="1" operator="between" stopIfTrue="1">
      <formula>MAX($H$40:$H$48+0.5)</formula>
      <formula>MAX($H$40:$H$48)+1.5</formula>
    </cfRule>
  </conditionalFormatting>
  <conditionalFormatting sqref="I40:I48">
    <cfRule type="cellIs" priority="25" dxfId="0" operator="between" stopIfTrue="1">
      <formula>MAX($I$40:$I$55)-0.5</formula>
      <formula>MAX($I$40:$I$55)+0.5</formula>
    </cfRule>
    <cfRule type="cellIs" priority="26" dxfId="1" operator="between" stopIfTrue="1">
      <formula>MAX($I$40:$I$55)-0.5</formula>
      <formula>MAX($I$40:$I$55)-1.5</formula>
    </cfRule>
    <cfRule type="cellIs" priority="27" dxfId="1" operator="between" stopIfTrue="1">
      <formula>MAX($I$40:$I$55)+0.5</formula>
      <formula>MAX($I$40:$I$55)+1.5</formula>
    </cfRule>
  </conditionalFormatting>
  <conditionalFormatting sqref="J40:J48">
    <cfRule type="cellIs" priority="28" dxfId="0" operator="between" stopIfTrue="1">
      <formula>MAX($J$40:$J$55)-0.5</formula>
      <formula>MAX($J$40:$J$55)+0.5</formula>
    </cfRule>
    <cfRule type="cellIs" priority="29" dxfId="1" operator="between" stopIfTrue="1">
      <formula>MAX($J$40:$J$55)-0.5</formula>
      <formula>MAX($J$40:$J$55)-1.5</formula>
    </cfRule>
    <cfRule type="cellIs" priority="30" dxfId="1" operator="between" stopIfTrue="1">
      <formula>MAX($J$40:$J$55)+0.5</formula>
      <formula>MAX($J$40:$J$55)+1.5</formula>
    </cfRule>
  </conditionalFormatting>
  <conditionalFormatting sqref="K40:K48">
    <cfRule type="cellIs" priority="31" dxfId="0" operator="between" stopIfTrue="1">
      <formula>MAX($K$40:$K$55)-0.5</formula>
      <formula>MAX($K$40:$K$55)+0.5</formula>
    </cfRule>
    <cfRule type="cellIs" priority="32" dxfId="1" operator="between" stopIfTrue="1">
      <formula>MAX($K$40:$K$55)-0.5</formula>
      <formula>MAX($K$40:$K$55)-1.5</formula>
    </cfRule>
    <cfRule type="cellIs" priority="33" dxfId="1" operator="between" stopIfTrue="1">
      <formula>MAX($K$40:$K$55)+0.5</formula>
      <formula>MAX($K$40:$K$55)+1.5</formula>
    </cfRule>
  </conditionalFormatting>
  <conditionalFormatting sqref="L40:L48">
    <cfRule type="cellIs" priority="34" dxfId="0" operator="between" stopIfTrue="1">
      <formula>MAX($L$40:$L$55)-0.5</formula>
      <formula>MAX($L$40:$L$55)+0.5</formula>
    </cfRule>
    <cfRule type="cellIs" priority="35" dxfId="1" operator="between" stopIfTrue="1">
      <formula>MAX($L$40:$L$55)-0.5</formula>
      <formula>MAX($L$40:$L$55)-1.5</formula>
    </cfRule>
    <cfRule type="cellIs" priority="36" dxfId="1" operator="between" stopIfTrue="1">
      <formula>MAX($L$40:$L$55)+0.5</formula>
      <formula>MAX($L$40:$L$55)+1.5</formula>
    </cfRule>
  </conditionalFormatting>
  <conditionalFormatting sqref="M40:M48">
    <cfRule type="cellIs" priority="37" dxfId="0" operator="between" stopIfTrue="1">
      <formula>MAX($M$40:$M$55)-0.5</formula>
      <formula>MAX($M$40:$M$55)+0.5</formula>
    </cfRule>
    <cfRule type="cellIs" priority="38" dxfId="1" operator="between" stopIfTrue="1">
      <formula>MAX($M$40:$M$55)-0.5</formula>
      <formula>MAX($M$40:$M$55)-1.5</formula>
    </cfRule>
    <cfRule type="cellIs" priority="39" dxfId="1" operator="between" stopIfTrue="1">
      <formula>MAX($M$40:$M$55)+0.5</formula>
      <formula>MAX($M$40:$M$55)+1.5</formula>
    </cfRule>
  </conditionalFormatting>
  <conditionalFormatting sqref="N40:N48">
    <cfRule type="cellIs" priority="40" dxfId="0" operator="between" stopIfTrue="1">
      <formula>MAX($N$40:$N$55)-0.5</formula>
      <formula>MAX($N$40:$N$55)+0.5</formula>
    </cfRule>
    <cfRule type="cellIs" priority="41" dxfId="1" operator="between" stopIfTrue="1">
      <formula>MAX($N$40:$N$55)-0.5</formula>
      <formula>MAX($N$40:$N$55)-1.5</formula>
    </cfRule>
    <cfRule type="cellIs" priority="42" dxfId="1" operator="between" stopIfTrue="1">
      <formula>MAX($N$40:$N$55)+0.5</formula>
      <formula>MAX($N$40:$N$55)+1.5</formula>
    </cfRule>
  </conditionalFormatting>
  <hyperlinks>
    <hyperlink ref="E5:G5" location="'Wheat (Moist) MR'!A1" display="Go to Marginal Revenue  Chart"/>
    <hyperlink ref="H5:J5" location="'Wheat (Moist) Fertilizer'!A1" display="Go to Fertilizer Price as variable"/>
    <hyperlink ref="L5" location="'Data Entry'!A1" display="Return to Data Entry"/>
    <hyperlink ref="G8" location="'Wheat crop price'!D47" display="Go to Total Net Return"/>
    <hyperlink ref="G8:G10" location="'Wheat (Moist) Crop'!D53" display="Go to Total Net Return Below"/>
    <hyperlink ref="G33" location="'Wheat crop price'!D47" display="Go to Total Net Return"/>
    <hyperlink ref="G33:G35" location="'Wheat (Moist) Crop'!D1" display="Return to Net Return"/>
  </hyperlink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6"/>
  <sheetViews>
    <sheetView showGridLines="0" workbookViewId="0" topLeftCell="A1">
      <selection activeCell="G21" sqref="G21"/>
    </sheetView>
  </sheetViews>
  <sheetFormatPr defaultColWidth="9.140625" defaultRowHeight="12.75"/>
  <cols>
    <col min="1" max="1" width="1.57421875" style="10" customWidth="1"/>
    <col min="2" max="2" width="17.140625" style="10" customWidth="1"/>
    <col min="3" max="3" width="9.140625" style="10" customWidth="1"/>
    <col min="4" max="4" width="11.140625" style="10" customWidth="1"/>
    <col min="5" max="5" width="9.140625" style="10" customWidth="1"/>
    <col min="6" max="6" width="9.421875" style="10" customWidth="1"/>
    <col min="7" max="7" width="13.57421875" style="10" customWidth="1"/>
    <col min="8" max="14" width="9.140625" style="10" customWidth="1"/>
    <col min="15" max="15" width="11.28125" style="154" customWidth="1"/>
    <col min="16" max="16" width="10.28125" style="10" customWidth="1"/>
    <col min="17" max="16384" width="9.140625" style="10" customWidth="1"/>
  </cols>
  <sheetData>
    <row r="1" spans="2:17" ht="6" customHeight="1" thickBot="1">
      <c r="B1" s="11"/>
      <c r="C1" s="11"/>
      <c r="D1" s="11"/>
      <c r="E1" s="11"/>
      <c r="F1" s="11"/>
      <c r="G1" s="11"/>
      <c r="H1" s="11"/>
      <c r="I1" s="11"/>
      <c r="J1" s="11"/>
      <c r="O1" s="204"/>
      <c r="P1" s="204"/>
      <c r="Q1" s="204"/>
    </row>
    <row r="2" spans="1:14" ht="20.25">
      <c r="A2" s="11"/>
      <c r="B2" s="254" t="s">
        <v>40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6"/>
    </row>
    <row r="3" spans="1:14" ht="20.25">
      <c r="A3" s="11"/>
      <c r="B3" s="257" t="s">
        <v>48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9"/>
    </row>
    <row r="4" spans="1:17" ht="6.75" customHeight="1">
      <c r="A4" s="11"/>
      <c r="B4" s="13"/>
      <c r="C4" s="14"/>
      <c r="D4" s="14"/>
      <c r="E4" s="14"/>
      <c r="F4" s="14"/>
      <c r="G4" s="14"/>
      <c r="H4" s="14"/>
      <c r="I4" s="14"/>
      <c r="J4" s="14"/>
      <c r="K4" s="12"/>
      <c r="L4" s="12"/>
      <c r="M4" s="12"/>
      <c r="N4" s="15"/>
      <c r="O4" s="205"/>
      <c r="P4" s="206"/>
      <c r="Q4" s="206"/>
    </row>
    <row r="5" spans="2:17" ht="12.75">
      <c r="B5" s="198"/>
      <c r="C5" s="199"/>
      <c r="D5" s="199"/>
      <c r="E5" s="253" t="s">
        <v>110</v>
      </c>
      <c r="F5" s="253"/>
      <c r="G5" s="253"/>
      <c r="H5" s="253" t="s">
        <v>119</v>
      </c>
      <c r="I5" s="253"/>
      <c r="J5" s="253"/>
      <c r="K5" s="268"/>
      <c r="L5" s="261" t="s">
        <v>96</v>
      </c>
      <c r="M5" s="260"/>
      <c r="N5" s="262"/>
      <c r="P5" s="206"/>
      <c r="Q5" s="206"/>
    </row>
    <row r="6" spans="1:17" ht="4.5" customHeight="1" thickBot="1">
      <c r="A6" s="16"/>
      <c r="B6" s="17"/>
      <c r="C6" s="18"/>
      <c r="D6" s="18"/>
      <c r="E6" s="18"/>
      <c r="F6" s="18"/>
      <c r="G6" s="18"/>
      <c r="H6" s="18"/>
      <c r="I6" s="18"/>
      <c r="J6" s="18"/>
      <c r="K6" s="12"/>
      <c r="L6" s="12"/>
      <c r="M6" s="12"/>
      <c r="N6" s="15"/>
      <c r="O6" s="205"/>
      <c r="P6" s="206"/>
      <c r="Q6" s="206"/>
    </row>
    <row r="7" spans="1:17" ht="15.75" customHeight="1" thickBot="1">
      <c r="A7" s="16"/>
      <c r="B7" s="234" t="s">
        <v>39</v>
      </c>
      <c r="C7" s="235"/>
      <c r="E7" s="18"/>
      <c r="F7" s="18"/>
      <c r="G7" s="18"/>
      <c r="H7" s="18"/>
      <c r="I7" s="19"/>
      <c r="J7" s="18"/>
      <c r="K7" s="19"/>
      <c r="L7" s="12"/>
      <c r="M7" s="12"/>
      <c r="N7" s="15"/>
      <c r="O7" s="207"/>
      <c r="P7" s="204"/>
      <c r="Q7" s="204"/>
    </row>
    <row r="8" spans="1:17" ht="15" customHeight="1">
      <c r="A8" s="16"/>
      <c r="B8" s="87" t="s">
        <v>1</v>
      </c>
      <c r="C8" s="21" t="str">
        <f>'Data Entry'!C7</f>
        <v>UREA</v>
      </c>
      <c r="D8" s="18"/>
      <c r="E8" s="22"/>
      <c r="F8" s="63"/>
      <c r="G8" s="213" t="s">
        <v>100</v>
      </c>
      <c r="H8" s="23"/>
      <c r="I8" s="266" t="s">
        <v>17</v>
      </c>
      <c r="J8" s="267"/>
      <c r="K8" s="267"/>
      <c r="L8" s="267"/>
      <c r="M8" s="267"/>
      <c r="N8" s="24"/>
      <c r="O8" s="207"/>
      <c r="P8" s="204"/>
      <c r="Q8" s="204"/>
    </row>
    <row r="9" spans="1:15" ht="15">
      <c r="A9" s="16"/>
      <c r="B9" s="20" t="s">
        <v>3</v>
      </c>
      <c r="C9" s="59">
        <f>'Data Entry'!C8</f>
        <v>700</v>
      </c>
      <c r="D9" s="18"/>
      <c r="E9" s="17"/>
      <c r="F9" s="66"/>
      <c r="G9" s="214"/>
      <c r="H9" s="18"/>
      <c r="I9" s="19"/>
      <c r="J9" s="18"/>
      <c r="K9" s="19"/>
      <c r="L9" s="12"/>
      <c r="M9" s="12"/>
      <c r="N9" s="15"/>
      <c r="O9" s="155"/>
    </row>
    <row r="10" spans="1:15" ht="15">
      <c r="A10" s="16"/>
      <c r="B10" s="20" t="s">
        <v>4</v>
      </c>
      <c r="C10" s="25">
        <f>'Data Entry'!C9</f>
        <v>46</v>
      </c>
      <c r="D10" s="18"/>
      <c r="E10" s="17"/>
      <c r="F10" s="66"/>
      <c r="G10" s="214"/>
      <c r="H10" s="26">
        <f>K10-C14*3</f>
        <v>3.5</v>
      </c>
      <c r="I10" s="26">
        <f>K10-C14*2</f>
        <v>4</v>
      </c>
      <c r="J10" s="26">
        <f>K10-C14</f>
        <v>4.5</v>
      </c>
      <c r="K10" s="27">
        <f>'Data Entry'!F14</f>
        <v>5</v>
      </c>
      <c r="L10" s="26">
        <f>K10+C14</f>
        <v>5.5</v>
      </c>
      <c r="M10" s="26">
        <f>K10+C14*2</f>
        <v>6</v>
      </c>
      <c r="N10" s="28">
        <f>K10+C14*3</f>
        <v>6.5</v>
      </c>
      <c r="O10" s="155"/>
    </row>
    <row r="11" spans="1:15" ht="15">
      <c r="A11" s="16"/>
      <c r="B11" s="20" t="s">
        <v>5</v>
      </c>
      <c r="C11" s="61">
        <f>(C9/((C10/100)*2200))</f>
        <v>0.691699604743083</v>
      </c>
      <c r="D11" s="18"/>
      <c r="E11" s="17"/>
      <c r="F11" s="66"/>
      <c r="G11" s="29" t="s">
        <v>6</v>
      </c>
      <c r="H11" s="18"/>
      <c r="I11" s="18"/>
      <c r="J11" s="18"/>
      <c r="K11" s="12"/>
      <c r="L11" s="12"/>
      <c r="M11" s="12"/>
      <c r="N11" s="15"/>
      <c r="O11" s="155"/>
    </row>
    <row r="12" spans="1:19" ht="15">
      <c r="A12" s="16"/>
      <c r="B12" s="30" t="s">
        <v>20</v>
      </c>
      <c r="C12" s="31">
        <f>'Data Entry'!C11</f>
        <v>10</v>
      </c>
      <c r="D12" s="18"/>
      <c r="E12" s="32"/>
      <c r="F12" s="70" t="s">
        <v>67</v>
      </c>
      <c r="G12" s="29" t="s">
        <v>7</v>
      </c>
      <c r="H12" s="274" t="s">
        <v>8</v>
      </c>
      <c r="I12" s="274"/>
      <c r="J12" s="274"/>
      <c r="K12" s="274"/>
      <c r="L12" s="274"/>
      <c r="M12" s="274"/>
      <c r="N12" s="275"/>
      <c r="O12" s="153"/>
      <c r="P12"/>
      <c r="Q12"/>
      <c r="R12"/>
      <c r="S12"/>
    </row>
    <row r="13" spans="1:19" ht="15.75" thickBot="1">
      <c r="A13" s="16"/>
      <c r="B13" s="33" t="s">
        <v>106</v>
      </c>
      <c r="C13" s="34"/>
      <c r="D13" s="18"/>
      <c r="E13" s="35" t="s">
        <v>9</v>
      </c>
      <c r="F13" s="73" t="s">
        <v>68</v>
      </c>
      <c r="G13" s="36" t="s">
        <v>10</v>
      </c>
      <c r="H13" s="219" t="s">
        <v>18</v>
      </c>
      <c r="I13" s="219"/>
      <c r="J13" s="219"/>
      <c r="K13" s="219"/>
      <c r="L13" s="219"/>
      <c r="M13" s="219"/>
      <c r="N13" s="212"/>
      <c r="O13" s="153"/>
      <c r="P13"/>
      <c r="Q13"/>
      <c r="R13"/>
      <c r="S13"/>
    </row>
    <row r="14" spans="1:19" ht="15">
      <c r="A14" s="16"/>
      <c r="B14" s="37" t="s">
        <v>108</v>
      </c>
      <c r="C14" s="57">
        <f>'Data Entry'!C13</f>
        <v>0.5</v>
      </c>
      <c r="D14" s="18"/>
      <c r="E14" s="39" t="s">
        <v>11</v>
      </c>
      <c r="F14" s="75" t="s">
        <v>12</v>
      </c>
      <c r="G14" s="40" t="s">
        <v>12</v>
      </c>
      <c r="H14" s="41">
        <f aca="true" t="shared" si="0" ref="H14:N14">H10/$C$11</f>
        <v>5.06</v>
      </c>
      <c r="I14" s="41">
        <f t="shared" si="0"/>
        <v>5.782857142857143</v>
      </c>
      <c r="J14" s="41">
        <f t="shared" si="0"/>
        <v>6.505714285714285</v>
      </c>
      <c r="K14" s="41">
        <f t="shared" si="0"/>
        <v>7.228571428571429</v>
      </c>
      <c r="L14" s="41">
        <f t="shared" si="0"/>
        <v>7.951428571428571</v>
      </c>
      <c r="M14" s="41">
        <f t="shared" si="0"/>
        <v>8.674285714285714</v>
      </c>
      <c r="N14" s="42">
        <f t="shared" si="0"/>
        <v>9.397142857142857</v>
      </c>
      <c r="O14" s="153"/>
      <c r="P14"/>
      <c r="Q14"/>
      <c r="R14"/>
      <c r="S14"/>
    </row>
    <row r="15" spans="1:19" ht="15">
      <c r="A15" s="16"/>
      <c r="B15" s="43" t="s">
        <v>28</v>
      </c>
      <c r="C15" s="34"/>
      <c r="D15" s="18"/>
      <c r="E15" s="44">
        <f>IF((E19-4*$C$12)&lt;0,0,(E19-4*$C$12))</f>
        <v>30</v>
      </c>
      <c r="F15" s="126">
        <f>G15+(-0.0013*($C$16)^2+0.4159*($C$16))+14.22</f>
        <v>34.494</v>
      </c>
      <c r="G15" s="126">
        <f>IF(((-0.0013*(E15+$C$16)^2+0.4159*(E15+$C$16))-(-0.0013*($C$16)^2+0.4159*($C$16)))&lt;0,0,(-0.0013*(E15+$C$16)^2+0.4159*(E15+$C$16))-(-0.0013*($C$16)^2+0.4159*($C$16)))</f>
        <v>8.967</v>
      </c>
      <c r="H15" s="135">
        <f aca="true" t="shared" si="1" ref="H15:N23">(H$10*$G15)-($C$11*($E15))</f>
        <v>10.63351185770751</v>
      </c>
      <c r="I15" s="135">
        <f t="shared" si="1"/>
        <v>15.11701185770751</v>
      </c>
      <c r="J15" s="135">
        <f t="shared" si="1"/>
        <v>19.60051185770751</v>
      </c>
      <c r="K15" s="135">
        <f t="shared" si="1"/>
        <v>24.08401185770751</v>
      </c>
      <c r="L15" s="135">
        <f t="shared" si="1"/>
        <v>28.56751185770751</v>
      </c>
      <c r="M15" s="135">
        <f t="shared" si="1"/>
        <v>33.051011857707515</v>
      </c>
      <c r="N15" s="136">
        <f t="shared" si="1"/>
        <v>37.534511857707514</v>
      </c>
      <c r="O15" s="153"/>
      <c r="P15"/>
      <c r="Q15"/>
      <c r="R15"/>
      <c r="S15"/>
    </row>
    <row r="16" spans="1:19" ht="15">
      <c r="A16" s="16"/>
      <c r="B16" s="37" t="s">
        <v>29</v>
      </c>
      <c r="C16" s="45">
        <f>'Data Entry'!C15</f>
        <v>30</v>
      </c>
      <c r="D16" s="18"/>
      <c r="E16" s="44">
        <f>IF((E20-4*$C$12)&lt;0,0,(E20-4*$C$12))</f>
        <v>40</v>
      </c>
      <c r="F16" s="126">
        <f aca="true" t="shared" si="2" ref="F16:F23">G16+(-0.0013*($C$16)^2+0.4159*($C$16))+14.22</f>
        <v>36.963</v>
      </c>
      <c r="G16" s="126">
        <f aca="true" t="shared" si="3" ref="G16:G23">IF(((-0.0013*(E16+$C$16)^2+0.4159*(E16+$C$16))-(-0.0013*($C$16)^2+0.4159*($C$16)))&lt;0,0,(-0.0013*(E16+$C$16)^2+0.4159*(E16+$C$16))-(-0.0013*($C$16)^2+0.4159*($C$16)))</f>
        <v>11.435999999999998</v>
      </c>
      <c r="H16" s="135">
        <f t="shared" si="1"/>
        <v>12.358015810276676</v>
      </c>
      <c r="I16" s="135">
        <f t="shared" si="1"/>
        <v>18.076015810276672</v>
      </c>
      <c r="J16" s="135">
        <f t="shared" si="1"/>
        <v>23.79401581027667</v>
      </c>
      <c r="K16" s="135">
        <f t="shared" si="1"/>
        <v>29.512015810276672</v>
      </c>
      <c r="L16" s="135">
        <f t="shared" si="1"/>
        <v>35.23001581027667</v>
      </c>
      <c r="M16" s="135">
        <f t="shared" si="1"/>
        <v>40.948015810276665</v>
      </c>
      <c r="N16" s="136">
        <f t="shared" si="1"/>
        <v>46.66601581027667</v>
      </c>
      <c r="O16" s="153"/>
      <c r="P16"/>
      <c r="Q16"/>
      <c r="R16"/>
      <c r="S16"/>
    </row>
    <row r="17" spans="1:19" ht="15">
      <c r="A17" s="16"/>
      <c r="B17" s="43" t="s">
        <v>30</v>
      </c>
      <c r="C17" s="46"/>
      <c r="D17" s="18"/>
      <c r="E17" s="44">
        <f>IF((E21-4*$C$12)&lt;0,0,(E21-4*$C$12))</f>
        <v>50</v>
      </c>
      <c r="F17" s="126">
        <f t="shared" si="2"/>
        <v>39.172</v>
      </c>
      <c r="G17" s="126">
        <f t="shared" si="3"/>
        <v>13.644999999999998</v>
      </c>
      <c r="H17" s="135">
        <f t="shared" si="1"/>
        <v>13.172519762845845</v>
      </c>
      <c r="I17" s="135">
        <f t="shared" si="1"/>
        <v>19.995019762845843</v>
      </c>
      <c r="J17" s="135">
        <f t="shared" si="1"/>
        <v>26.81751976284584</v>
      </c>
      <c r="K17" s="135">
        <f t="shared" si="1"/>
        <v>33.640019762845846</v>
      </c>
      <c r="L17" s="135">
        <f t="shared" si="1"/>
        <v>40.46251976284584</v>
      </c>
      <c r="M17" s="135">
        <f t="shared" si="1"/>
        <v>47.28501976284584</v>
      </c>
      <c r="N17" s="136">
        <f t="shared" si="1"/>
        <v>54.10751976284583</v>
      </c>
      <c r="O17" s="153"/>
      <c r="P17"/>
      <c r="Q17"/>
      <c r="R17"/>
      <c r="S17"/>
    </row>
    <row r="18" spans="1:19" ht="15.75" thickBot="1">
      <c r="A18" s="16"/>
      <c r="B18" s="17"/>
      <c r="C18" s="18"/>
      <c r="D18" s="18"/>
      <c r="E18" s="44">
        <f>IF((E22-4*$C$12)&lt;0,0,(E22-4*$C$12))</f>
        <v>60</v>
      </c>
      <c r="F18" s="126">
        <f t="shared" si="2"/>
        <v>41.120999999999995</v>
      </c>
      <c r="G18" s="126">
        <f t="shared" si="3"/>
        <v>15.593999999999996</v>
      </c>
      <c r="H18" s="135">
        <f t="shared" si="1"/>
        <v>13.077023715415002</v>
      </c>
      <c r="I18" s="135">
        <f t="shared" si="1"/>
        <v>20.874023715415</v>
      </c>
      <c r="J18" s="135">
        <f t="shared" si="1"/>
        <v>28.671023715415004</v>
      </c>
      <c r="K18" s="135">
        <f t="shared" si="1"/>
        <v>36.468023715415</v>
      </c>
      <c r="L18" s="135">
        <f t="shared" si="1"/>
        <v>44.265023715415</v>
      </c>
      <c r="M18" s="135">
        <f t="shared" si="1"/>
        <v>52.062023715414995</v>
      </c>
      <c r="N18" s="136">
        <f t="shared" si="1"/>
        <v>59.85902371541499</v>
      </c>
      <c r="O18" s="153"/>
      <c r="P18"/>
      <c r="Q18"/>
      <c r="R18"/>
      <c r="S18"/>
    </row>
    <row r="19" spans="1:19" ht="15.75" thickBot="1">
      <c r="A19" s="16"/>
      <c r="B19" s="47"/>
      <c r="C19" s="48"/>
      <c r="D19" s="49" t="s">
        <v>13</v>
      </c>
      <c r="E19" s="50">
        <f>'Data Entry'!G9</f>
        <v>70</v>
      </c>
      <c r="F19" s="126">
        <f t="shared" si="2"/>
        <v>42.809999999999995</v>
      </c>
      <c r="G19" s="126">
        <f t="shared" si="3"/>
        <v>17.282999999999994</v>
      </c>
      <c r="H19" s="135">
        <f t="shared" si="1"/>
        <v>12.07152766798417</v>
      </c>
      <c r="I19" s="135">
        <f t="shared" si="1"/>
        <v>20.713027667984164</v>
      </c>
      <c r="J19" s="135">
        <f t="shared" si="1"/>
        <v>29.354527667984158</v>
      </c>
      <c r="K19" s="135">
        <f t="shared" si="1"/>
        <v>37.99602766798415</v>
      </c>
      <c r="L19" s="135">
        <f t="shared" si="1"/>
        <v>46.63752766798416</v>
      </c>
      <c r="M19" s="135">
        <f t="shared" si="1"/>
        <v>55.27902766798415</v>
      </c>
      <c r="N19" s="136">
        <f t="shared" si="1"/>
        <v>63.920527667984146</v>
      </c>
      <c r="O19" s="153"/>
      <c r="P19"/>
      <c r="Q19"/>
      <c r="R19"/>
      <c r="S19"/>
    </row>
    <row r="20" spans="1:19" ht="15">
      <c r="A20" s="16"/>
      <c r="B20" s="17"/>
      <c r="C20" s="18"/>
      <c r="D20" s="18"/>
      <c r="E20" s="51">
        <f>E19+C12</f>
        <v>80</v>
      </c>
      <c r="F20" s="126">
        <f t="shared" si="2"/>
        <v>44.239000000000004</v>
      </c>
      <c r="G20" s="126">
        <f t="shared" si="3"/>
        <v>18.712000000000003</v>
      </c>
      <c r="H20" s="135">
        <f t="shared" si="1"/>
        <v>10.156031620553378</v>
      </c>
      <c r="I20" s="135">
        <f t="shared" si="1"/>
        <v>19.512031620553373</v>
      </c>
      <c r="J20" s="135">
        <f t="shared" si="1"/>
        <v>28.868031620553367</v>
      </c>
      <c r="K20" s="135">
        <f t="shared" si="1"/>
        <v>38.224031620553376</v>
      </c>
      <c r="L20" s="135">
        <f t="shared" si="1"/>
        <v>47.580031620553385</v>
      </c>
      <c r="M20" s="135">
        <f t="shared" si="1"/>
        <v>56.93603162055338</v>
      </c>
      <c r="N20" s="136">
        <f t="shared" si="1"/>
        <v>66.29203162055337</v>
      </c>
      <c r="O20" s="153"/>
      <c r="P20"/>
      <c r="Q20"/>
      <c r="R20"/>
      <c r="S20"/>
    </row>
    <row r="21" spans="1:19" ht="15">
      <c r="A21" s="16"/>
      <c r="B21" s="17"/>
      <c r="C21" s="52"/>
      <c r="D21" s="18"/>
      <c r="E21" s="51">
        <f>E19+2*C12</f>
        <v>90</v>
      </c>
      <c r="F21" s="126">
        <f t="shared" si="2"/>
        <v>45.408</v>
      </c>
      <c r="G21" s="126">
        <f t="shared" si="3"/>
        <v>19.881</v>
      </c>
      <c r="H21" s="135">
        <f t="shared" si="1"/>
        <v>7.330535573122532</v>
      </c>
      <c r="I21" s="135">
        <f t="shared" si="1"/>
        <v>17.271035573122532</v>
      </c>
      <c r="J21" s="135">
        <f t="shared" si="1"/>
        <v>27.211535573122532</v>
      </c>
      <c r="K21" s="135">
        <f t="shared" si="1"/>
        <v>37.15203557312253</v>
      </c>
      <c r="L21" s="135">
        <f t="shared" si="1"/>
        <v>47.09253557312253</v>
      </c>
      <c r="M21" s="135">
        <f t="shared" si="1"/>
        <v>57.03303557312253</v>
      </c>
      <c r="N21" s="136">
        <f t="shared" si="1"/>
        <v>66.97353557312252</v>
      </c>
      <c r="O21" s="153"/>
      <c r="P21"/>
      <c r="Q21"/>
      <c r="R21"/>
      <c r="S21"/>
    </row>
    <row r="22" spans="1:19" ht="15">
      <c r="A22" s="16"/>
      <c r="B22" s="17"/>
      <c r="C22" s="18"/>
      <c r="D22" s="18"/>
      <c r="E22" s="51">
        <f>E19+3*C12</f>
        <v>100</v>
      </c>
      <c r="F22" s="126">
        <f t="shared" si="2"/>
        <v>46.317</v>
      </c>
      <c r="G22" s="126">
        <f t="shared" si="3"/>
        <v>20.79</v>
      </c>
      <c r="H22" s="135">
        <f t="shared" si="1"/>
        <v>3.5950395256917034</v>
      </c>
      <c r="I22" s="135">
        <f t="shared" si="1"/>
        <v>13.9900395256917</v>
      </c>
      <c r="J22" s="135">
        <f t="shared" si="1"/>
        <v>24.385039525691695</v>
      </c>
      <c r="K22" s="135">
        <f t="shared" si="1"/>
        <v>34.78003952569169</v>
      </c>
      <c r="L22" s="135">
        <f t="shared" si="1"/>
        <v>45.1750395256917</v>
      </c>
      <c r="M22" s="135">
        <f t="shared" si="1"/>
        <v>55.5700395256917</v>
      </c>
      <c r="N22" s="136">
        <f t="shared" si="1"/>
        <v>65.9650395256917</v>
      </c>
      <c r="O22" s="153"/>
      <c r="P22"/>
      <c r="Q22"/>
      <c r="R22"/>
      <c r="S22"/>
    </row>
    <row r="23" spans="1:19" ht="15">
      <c r="A23" s="16"/>
      <c r="B23" s="17"/>
      <c r="C23" s="18"/>
      <c r="D23" s="18"/>
      <c r="E23" s="51">
        <f>E19+4*C12</f>
        <v>110</v>
      </c>
      <c r="F23" s="126">
        <f t="shared" si="2"/>
        <v>46.965999999999994</v>
      </c>
      <c r="G23" s="126">
        <f t="shared" si="3"/>
        <v>21.438999999999993</v>
      </c>
      <c r="H23" s="135">
        <f t="shared" si="1"/>
        <v>-1.0504565217391502</v>
      </c>
      <c r="I23" s="135">
        <f t="shared" si="1"/>
        <v>9.669043478260846</v>
      </c>
      <c r="J23" s="135">
        <f t="shared" si="1"/>
        <v>20.388543478260843</v>
      </c>
      <c r="K23" s="135">
        <f t="shared" si="1"/>
        <v>31.10804347826084</v>
      </c>
      <c r="L23" s="135">
        <f t="shared" si="1"/>
        <v>41.827543478260836</v>
      </c>
      <c r="M23" s="135">
        <f t="shared" si="1"/>
        <v>52.54704347826083</v>
      </c>
      <c r="N23" s="136">
        <f t="shared" si="1"/>
        <v>63.266543478260814</v>
      </c>
      <c r="O23" s="153"/>
      <c r="P23"/>
      <c r="Q23"/>
      <c r="R23"/>
      <c r="S23"/>
    </row>
    <row r="24" spans="1:19" ht="13.5" customHeight="1">
      <c r="A24" s="16"/>
      <c r="B24" s="17"/>
      <c r="C24" s="18"/>
      <c r="D24" s="18"/>
      <c r="E24" s="276" t="s">
        <v>51</v>
      </c>
      <c r="F24" s="277"/>
      <c r="G24" s="277"/>
      <c r="H24" s="277"/>
      <c r="I24" s="277"/>
      <c r="J24" s="277"/>
      <c r="K24" s="277"/>
      <c r="L24" s="277"/>
      <c r="M24" s="277"/>
      <c r="N24" s="278"/>
      <c r="O24" s="153"/>
      <c r="P24"/>
      <c r="Q24"/>
      <c r="R24"/>
      <c r="S24"/>
    </row>
    <row r="25" spans="1:19" ht="9.75" customHeight="1">
      <c r="A25" s="16"/>
      <c r="B25" s="17"/>
      <c r="C25" s="18"/>
      <c r="D25" s="18"/>
      <c r="E25" s="263" t="s">
        <v>16</v>
      </c>
      <c r="F25" s="264"/>
      <c r="G25" s="264"/>
      <c r="H25" s="264"/>
      <c r="I25" s="264"/>
      <c r="J25" s="264"/>
      <c r="K25" s="264"/>
      <c r="L25" s="264"/>
      <c r="M25" s="264"/>
      <c r="N25" s="265"/>
      <c r="O25" s="153"/>
      <c r="P25"/>
      <c r="Q25"/>
      <c r="R25"/>
      <c r="S25"/>
    </row>
    <row r="26" spans="1:19" ht="9.75" customHeight="1">
      <c r="A26" s="16"/>
      <c r="B26" s="17"/>
      <c r="C26" s="18"/>
      <c r="D26" s="18"/>
      <c r="E26" s="263" t="s">
        <v>19</v>
      </c>
      <c r="F26" s="264"/>
      <c r="G26" s="264"/>
      <c r="H26" s="264"/>
      <c r="I26" s="264"/>
      <c r="J26" s="264"/>
      <c r="K26" s="264"/>
      <c r="L26" s="264"/>
      <c r="M26" s="264"/>
      <c r="N26" s="265"/>
      <c r="O26" s="153"/>
      <c r="P26"/>
      <c r="Q26"/>
      <c r="R26"/>
      <c r="S26"/>
    </row>
    <row r="27" spans="1:19" ht="11.25" customHeight="1">
      <c r="A27" s="16"/>
      <c r="B27" s="17"/>
      <c r="C27" s="18"/>
      <c r="D27" s="18"/>
      <c r="E27" s="249" t="s">
        <v>85</v>
      </c>
      <c r="F27" s="250"/>
      <c r="G27" s="250"/>
      <c r="H27" s="250"/>
      <c r="I27" s="250"/>
      <c r="J27" s="250"/>
      <c r="K27" s="251"/>
      <c r="L27" s="251"/>
      <c r="M27" s="251"/>
      <c r="N27" s="252"/>
      <c r="O27" s="153"/>
      <c r="P27"/>
      <c r="Q27"/>
      <c r="R27"/>
      <c r="S27"/>
    </row>
    <row r="28" spans="1:19" ht="12" customHeight="1" thickBot="1">
      <c r="A28" s="16"/>
      <c r="B28" s="17"/>
      <c r="C28" s="18"/>
      <c r="D28" s="18"/>
      <c r="E28" s="269" t="s">
        <v>38</v>
      </c>
      <c r="F28" s="270"/>
      <c r="G28" s="271"/>
      <c r="H28" s="271"/>
      <c r="I28" s="271"/>
      <c r="J28" s="271"/>
      <c r="K28" s="272"/>
      <c r="L28" s="272"/>
      <c r="M28" s="272"/>
      <c r="N28" s="273"/>
      <c r="O28" s="153"/>
      <c r="P28"/>
      <c r="Q28"/>
      <c r="R28"/>
      <c r="S28"/>
    </row>
    <row r="29" spans="1:19" ht="11.25" customHeight="1">
      <c r="A29" s="16"/>
      <c r="B29" s="17"/>
      <c r="C29" s="18"/>
      <c r="D29" s="18"/>
      <c r="E29" s="53"/>
      <c r="F29" s="53"/>
      <c r="G29" s="53"/>
      <c r="H29" s="53"/>
      <c r="I29" s="53"/>
      <c r="J29" s="53"/>
      <c r="K29" s="12"/>
      <c r="L29" s="12"/>
      <c r="M29" s="12"/>
      <c r="N29" s="15"/>
      <c r="O29" s="153"/>
      <c r="P29"/>
      <c r="Q29"/>
      <c r="R29"/>
      <c r="S29"/>
    </row>
    <row r="30" spans="2:19" ht="11.25" customHeight="1" thickBot="1">
      <c r="B30" s="215"/>
      <c r="C30" s="216"/>
      <c r="D30" s="216"/>
      <c r="E30" s="216"/>
      <c r="F30" s="216"/>
      <c r="G30" s="216"/>
      <c r="H30" s="216"/>
      <c r="I30" s="216"/>
      <c r="J30" s="216"/>
      <c r="K30" s="55"/>
      <c r="L30" s="55"/>
      <c r="M30" s="55"/>
      <c r="N30" s="56"/>
      <c r="O30" s="153"/>
      <c r="P30"/>
      <c r="Q30"/>
      <c r="R30"/>
      <c r="S30"/>
    </row>
    <row r="31" spans="2:19" ht="4.5" customHeight="1" thickBot="1">
      <c r="B31" s="188"/>
      <c r="C31" s="172"/>
      <c r="D31" s="172"/>
      <c r="E31" s="172"/>
      <c r="F31" s="172"/>
      <c r="G31" s="172"/>
      <c r="H31" s="172"/>
      <c r="I31" s="172"/>
      <c r="J31" s="172"/>
      <c r="K31" s="12"/>
      <c r="L31" s="12"/>
      <c r="M31" s="12"/>
      <c r="N31" s="15"/>
      <c r="O31" s="153"/>
      <c r="P31"/>
      <c r="Q31"/>
      <c r="R31"/>
      <c r="S31"/>
    </row>
    <row r="32" spans="1:15" ht="15.75" customHeight="1" thickBot="1">
      <c r="A32" s="16"/>
      <c r="B32" s="234" t="s">
        <v>39</v>
      </c>
      <c r="C32" s="235"/>
      <c r="E32" s="18"/>
      <c r="F32" s="18"/>
      <c r="G32" s="18"/>
      <c r="H32" s="18"/>
      <c r="I32" s="19"/>
      <c r="J32" s="18"/>
      <c r="K32" s="19"/>
      <c r="L32" s="12"/>
      <c r="M32" s="12"/>
      <c r="N32" s="15"/>
      <c r="O32" s="155"/>
    </row>
    <row r="33" spans="1:15" ht="15" customHeight="1">
      <c r="A33" s="16"/>
      <c r="B33" s="87" t="s">
        <v>1</v>
      </c>
      <c r="C33" s="21" t="str">
        <f>'Data Entry'!C7</f>
        <v>UREA</v>
      </c>
      <c r="D33" s="18"/>
      <c r="F33" s="22"/>
      <c r="G33" s="213" t="s">
        <v>102</v>
      </c>
      <c r="H33" s="23"/>
      <c r="I33" s="266" t="s">
        <v>17</v>
      </c>
      <c r="J33" s="267"/>
      <c r="K33" s="267"/>
      <c r="L33" s="267"/>
      <c r="M33" s="267"/>
      <c r="N33" s="24"/>
      <c r="O33" s="155"/>
    </row>
    <row r="34" spans="1:15" ht="15">
      <c r="A34" s="16"/>
      <c r="B34" s="20" t="s">
        <v>3</v>
      </c>
      <c r="C34" s="179">
        <f>'Data Entry'!C8</f>
        <v>700</v>
      </c>
      <c r="D34" s="18"/>
      <c r="F34" s="17"/>
      <c r="G34" s="214"/>
      <c r="H34" s="18"/>
      <c r="I34" s="19"/>
      <c r="J34" s="18"/>
      <c r="K34" s="19"/>
      <c r="L34" s="12"/>
      <c r="M34" s="12"/>
      <c r="N34" s="15"/>
      <c r="O34" s="155"/>
    </row>
    <row r="35" spans="1:15" ht="15">
      <c r="A35" s="16"/>
      <c r="B35" s="20" t="s">
        <v>4</v>
      </c>
      <c r="C35" s="25">
        <f>'Data Entry'!C9</f>
        <v>46</v>
      </c>
      <c r="D35" s="18"/>
      <c r="F35" s="17"/>
      <c r="G35" s="214"/>
      <c r="H35" s="26">
        <f>K35-C39*3</f>
        <v>3.5</v>
      </c>
      <c r="I35" s="26">
        <f>K35-C39*2</f>
        <v>4</v>
      </c>
      <c r="J35" s="26">
        <f>K35-C39</f>
        <v>4.5</v>
      </c>
      <c r="K35" s="27">
        <f>'Data Entry'!F14</f>
        <v>5</v>
      </c>
      <c r="L35" s="26">
        <f>K35+C39</f>
        <v>5.5</v>
      </c>
      <c r="M35" s="26">
        <f>K35+C39*2</f>
        <v>6</v>
      </c>
      <c r="N35" s="28">
        <f>K35+C39*3</f>
        <v>6.5</v>
      </c>
      <c r="O35" s="155"/>
    </row>
    <row r="36" spans="1:15" ht="15">
      <c r="A36" s="16"/>
      <c r="B36" s="20" t="s">
        <v>5</v>
      </c>
      <c r="C36" s="61">
        <f>(C34/((C35/100)*2200))</f>
        <v>0.691699604743083</v>
      </c>
      <c r="D36" s="18"/>
      <c r="F36" s="17"/>
      <c r="G36" s="29" t="s">
        <v>6</v>
      </c>
      <c r="H36" s="18"/>
      <c r="I36" s="18"/>
      <c r="J36" s="18"/>
      <c r="K36" s="12"/>
      <c r="L36" s="12"/>
      <c r="M36" s="12"/>
      <c r="N36" s="15"/>
      <c r="O36" s="155"/>
    </row>
    <row r="37" spans="1:19" ht="15">
      <c r="A37" s="16"/>
      <c r="B37" s="30" t="s">
        <v>20</v>
      </c>
      <c r="C37" s="31">
        <f>'Data Entry'!C11</f>
        <v>10</v>
      </c>
      <c r="D37" s="18"/>
      <c r="F37" s="32"/>
      <c r="G37" s="70" t="s">
        <v>67</v>
      </c>
      <c r="H37" s="217" t="s">
        <v>112</v>
      </c>
      <c r="I37" s="217"/>
      <c r="J37" s="217"/>
      <c r="K37" s="217"/>
      <c r="L37" s="217"/>
      <c r="M37" s="217"/>
      <c r="N37" s="218"/>
      <c r="O37" s="153"/>
      <c r="P37"/>
      <c r="Q37"/>
      <c r="R37"/>
      <c r="S37"/>
    </row>
    <row r="38" spans="1:19" ht="15.75" thickBot="1">
      <c r="A38" s="16"/>
      <c r="B38" s="33" t="s">
        <v>106</v>
      </c>
      <c r="C38" s="34"/>
      <c r="D38" s="18"/>
      <c r="F38" s="35" t="s">
        <v>9</v>
      </c>
      <c r="G38" s="73" t="s">
        <v>68</v>
      </c>
      <c r="H38" s="219" t="s">
        <v>18</v>
      </c>
      <c r="I38" s="219"/>
      <c r="J38" s="219"/>
      <c r="K38" s="219"/>
      <c r="L38" s="219"/>
      <c r="M38" s="219"/>
      <c r="N38" s="212"/>
      <c r="O38" s="153"/>
      <c r="P38"/>
      <c r="Q38"/>
      <c r="R38"/>
      <c r="S38"/>
    </row>
    <row r="39" spans="1:19" ht="15">
      <c r="A39" s="16"/>
      <c r="B39" s="37" t="s">
        <v>108</v>
      </c>
      <c r="C39" s="57">
        <f>'Data Entry'!C13</f>
        <v>0.5</v>
      </c>
      <c r="D39" s="18"/>
      <c r="F39" s="39" t="s">
        <v>11</v>
      </c>
      <c r="G39" s="75" t="s">
        <v>12</v>
      </c>
      <c r="H39" s="41">
        <f aca="true" t="shared" si="4" ref="H39:N39">H35/$C$11</f>
        <v>5.06</v>
      </c>
      <c r="I39" s="41">
        <f t="shared" si="4"/>
        <v>5.782857142857143</v>
      </c>
      <c r="J39" s="41">
        <f t="shared" si="4"/>
        <v>6.505714285714285</v>
      </c>
      <c r="K39" s="41">
        <f t="shared" si="4"/>
        <v>7.228571428571429</v>
      </c>
      <c r="L39" s="41">
        <f t="shared" si="4"/>
        <v>7.951428571428571</v>
      </c>
      <c r="M39" s="41">
        <f t="shared" si="4"/>
        <v>8.674285714285714</v>
      </c>
      <c r="N39" s="42">
        <f t="shared" si="4"/>
        <v>9.397142857142857</v>
      </c>
      <c r="O39" s="153"/>
      <c r="P39"/>
      <c r="Q39"/>
      <c r="R39"/>
      <c r="S39"/>
    </row>
    <row r="40" spans="1:19" ht="15">
      <c r="A40" s="16"/>
      <c r="B40" s="43" t="s">
        <v>28</v>
      </c>
      <c r="C40" s="34"/>
      <c r="D40" s="18"/>
      <c r="F40" s="44">
        <f>IF((F44-4*$C$12)&lt;0,0,(F44-4*$C$12))</f>
        <v>30</v>
      </c>
      <c r="G40" s="126">
        <f>G15+(-0.0013*($C$16)^2+0.4159*($C$16))+14.22</f>
        <v>34.494</v>
      </c>
      <c r="H40" s="135">
        <f aca="true" t="shared" si="5" ref="H40:N48">(H$10*$G40)-($C$11*($F40))</f>
        <v>99.97801185770751</v>
      </c>
      <c r="I40" s="135">
        <f t="shared" si="5"/>
        <v>117.2250118577075</v>
      </c>
      <c r="J40" s="135">
        <f t="shared" si="5"/>
        <v>134.4720118577075</v>
      </c>
      <c r="K40" s="135">
        <f t="shared" si="5"/>
        <v>151.7190118577075</v>
      </c>
      <c r="L40" s="135">
        <f t="shared" si="5"/>
        <v>168.96601185770749</v>
      </c>
      <c r="M40" s="135">
        <f t="shared" si="5"/>
        <v>186.2130118577075</v>
      </c>
      <c r="N40" s="136">
        <f t="shared" si="5"/>
        <v>203.4600118577075</v>
      </c>
      <c r="O40" s="153"/>
      <c r="P40"/>
      <c r="Q40"/>
      <c r="R40"/>
      <c r="S40"/>
    </row>
    <row r="41" spans="1:19" ht="15">
      <c r="A41" s="16"/>
      <c r="B41" s="37" t="s">
        <v>29</v>
      </c>
      <c r="C41" s="45">
        <f>'Data Entry'!C15</f>
        <v>30</v>
      </c>
      <c r="D41" s="18"/>
      <c r="F41" s="44">
        <f>IF((F45-4*$C$12)&lt;0,0,(F45-4*$C$12))</f>
        <v>40</v>
      </c>
      <c r="G41" s="126">
        <f aca="true" t="shared" si="6" ref="G41:G48">G16+(-0.0013*($C$16)^2+0.4159*($C$16))+14.22</f>
        <v>36.963</v>
      </c>
      <c r="H41" s="135">
        <f t="shared" si="5"/>
        <v>101.70251581027668</v>
      </c>
      <c r="I41" s="135">
        <f t="shared" si="5"/>
        <v>120.18401581027669</v>
      </c>
      <c r="J41" s="135">
        <f t="shared" si="5"/>
        <v>138.6655158102767</v>
      </c>
      <c r="K41" s="135">
        <f t="shared" si="5"/>
        <v>157.14701581027668</v>
      </c>
      <c r="L41" s="135">
        <f t="shared" si="5"/>
        <v>175.6285158102767</v>
      </c>
      <c r="M41" s="135">
        <f t="shared" si="5"/>
        <v>194.1100158102767</v>
      </c>
      <c r="N41" s="136">
        <f t="shared" si="5"/>
        <v>212.5915158102767</v>
      </c>
      <c r="O41" s="153"/>
      <c r="P41"/>
      <c r="Q41"/>
      <c r="R41"/>
      <c r="S41"/>
    </row>
    <row r="42" spans="1:19" ht="15">
      <c r="A42" s="16"/>
      <c r="B42" s="43" t="s">
        <v>30</v>
      </c>
      <c r="C42" s="46"/>
      <c r="D42" s="18"/>
      <c r="F42" s="44">
        <f>IF((F46-4*$C$12)&lt;0,0,(F46-4*$C$12))</f>
        <v>50</v>
      </c>
      <c r="G42" s="126">
        <f t="shared" si="6"/>
        <v>39.172</v>
      </c>
      <c r="H42" s="135">
        <f t="shared" si="5"/>
        <v>102.51701976284582</v>
      </c>
      <c r="I42" s="135">
        <f t="shared" si="5"/>
        <v>122.10301976284583</v>
      </c>
      <c r="J42" s="135">
        <f t="shared" si="5"/>
        <v>141.68901976284585</v>
      </c>
      <c r="K42" s="135">
        <f t="shared" si="5"/>
        <v>161.27501976284583</v>
      </c>
      <c r="L42" s="135">
        <f t="shared" si="5"/>
        <v>180.8610197628458</v>
      </c>
      <c r="M42" s="135">
        <f t="shared" si="5"/>
        <v>200.44701976284583</v>
      </c>
      <c r="N42" s="136">
        <f t="shared" si="5"/>
        <v>220.03301976284584</v>
      </c>
      <c r="O42" s="153"/>
      <c r="P42"/>
      <c r="Q42"/>
      <c r="R42"/>
      <c r="S42"/>
    </row>
    <row r="43" spans="1:19" ht="15.75" thickBot="1">
      <c r="A43" s="16"/>
      <c r="B43" s="17"/>
      <c r="C43" s="18"/>
      <c r="D43" s="18"/>
      <c r="F43" s="44">
        <f>IF((F47-4*$C$12)&lt;0,0,(F47-4*$C$12))</f>
        <v>60</v>
      </c>
      <c r="G43" s="126">
        <f t="shared" si="6"/>
        <v>41.120999999999995</v>
      </c>
      <c r="H43" s="135">
        <f t="shared" si="5"/>
        <v>102.421523715415</v>
      </c>
      <c r="I43" s="135">
        <f t="shared" si="5"/>
        <v>122.982023715415</v>
      </c>
      <c r="J43" s="135">
        <f t="shared" si="5"/>
        <v>143.54252371541497</v>
      </c>
      <c r="K43" s="135">
        <f t="shared" si="5"/>
        <v>164.10302371541496</v>
      </c>
      <c r="L43" s="135">
        <f t="shared" si="5"/>
        <v>184.663523715415</v>
      </c>
      <c r="M43" s="135">
        <f t="shared" si="5"/>
        <v>205.224023715415</v>
      </c>
      <c r="N43" s="136">
        <f t="shared" si="5"/>
        <v>225.784523715415</v>
      </c>
      <c r="O43" s="153"/>
      <c r="P43"/>
      <c r="Q43"/>
      <c r="R43"/>
      <c r="S43"/>
    </row>
    <row r="44" spans="1:19" ht="15.75" thickBot="1">
      <c r="A44" s="16"/>
      <c r="B44" s="47"/>
      <c r="C44" s="48"/>
      <c r="E44" s="49" t="s">
        <v>13</v>
      </c>
      <c r="F44" s="50">
        <f>E19</f>
        <v>70</v>
      </c>
      <c r="G44" s="126">
        <f t="shared" si="6"/>
        <v>42.809999999999995</v>
      </c>
      <c r="H44" s="135">
        <f t="shared" si="5"/>
        <v>101.41602766798417</v>
      </c>
      <c r="I44" s="135">
        <f t="shared" si="5"/>
        <v>122.82102766798417</v>
      </c>
      <c r="J44" s="135">
        <f t="shared" si="5"/>
        <v>144.22602766798417</v>
      </c>
      <c r="K44" s="135">
        <f t="shared" si="5"/>
        <v>165.63102766798417</v>
      </c>
      <c r="L44" s="135">
        <f t="shared" si="5"/>
        <v>187.03602766798417</v>
      </c>
      <c r="M44" s="135">
        <f t="shared" si="5"/>
        <v>208.44102766798414</v>
      </c>
      <c r="N44" s="136">
        <f t="shared" si="5"/>
        <v>229.84602766798417</v>
      </c>
      <c r="O44" s="153"/>
      <c r="P44"/>
      <c r="Q44"/>
      <c r="R44"/>
      <c r="S44"/>
    </row>
    <row r="45" spans="1:19" ht="15">
      <c r="A45" s="16"/>
      <c r="B45" s="17"/>
      <c r="C45" s="18"/>
      <c r="D45" s="18"/>
      <c r="F45" s="51">
        <f>F44+C37</f>
        <v>80</v>
      </c>
      <c r="G45" s="126">
        <f t="shared" si="6"/>
        <v>44.239000000000004</v>
      </c>
      <c r="H45" s="135">
        <f t="shared" si="5"/>
        <v>99.50053162055336</v>
      </c>
      <c r="I45" s="135">
        <f t="shared" si="5"/>
        <v>121.62003162055338</v>
      </c>
      <c r="J45" s="135">
        <f t="shared" si="5"/>
        <v>143.7395316205534</v>
      </c>
      <c r="K45" s="135">
        <f t="shared" si="5"/>
        <v>165.85903162055337</v>
      </c>
      <c r="L45" s="135">
        <f t="shared" si="5"/>
        <v>187.97853162055338</v>
      </c>
      <c r="M45" s="135">
        <f t="shared" si="5"/>
        <v>210.0980316205534</v>
      </c>
      <c r="N45" s="136">
        <f t="shared" si="5"/>
        <v>232.21753162055342</v>
      </c>
      <c r="O45" s="153"/>
      <c r="P45"/>
      <c r="Q45"/>
      <c r="R45"/>
      <c r="S45"/>
    </row>
    <row r="46" spans="1:19" ht="15">
      <c r="A46" s="16"/>
      <c r="B46" s="17"/>
      <c r="C46" s="52"/>
      <c r="D46" s="18"/>
      <c r="F46" s="51">
        <f>F44+2*C37</f>
        <v>90</v>
      </c>
      <c r="G46" s="126">
        <f t="shared" si="6"/>
        <v>45.408</v>
      </c>
      <c r="H46" s="135">
        <f t="shared" si="5"/>
        <v>96.67503557312253</v>
      </c>
      <c r="I46" s="135">
        <f t="shared" si="5"/>
        <v>119.37903557312254</v>
      </c>
      <c r="J46" s="135">
        <f t="shared" si="5"/>
        <v>142.08303557312254</v>
      </c>
      <c r="K46" s="135">
        <f t="shared" si="5"/>
        <v>164.78703557312255</v>
      </c>
      <c r="L46" s="135">
        <f t="shared" si="5"/>
        <v>187.49103557312253</v>
      </c>
      <c r="M46" s="135">
        <f t="shared" si="5"/>
        <v>210.1950355731225</v>
      </c>
      <c r="N46" s="136">
        <f t="shared" si="5"/>
        <v>232.89903557312252</v>
      </c>
      <c r="O46" s="153"/>
      <c r="P46"/>
      <c r="Q46"/>
      <c r="R46"/>
      <c r="S46"/>
    </row>
    <row r="47" spans="1:19" ht="15">
      <c r="A47" s="16"/>
      <c r="B47" s="17"/>
      <c r="C47" s="18"/>
      <c r="D47" s="18"/>
      <c r="F47" s="51">
        <f>F44+3*C37</f>
        <v>100</v>
      </c>
      <c r="G47" s="126">
        <f t="shared" si="6"/>
        <v>46.317</v>
      </c>
      <c r="H47" s="135">
        <f t="shared" si="5"/>
        <v>92.9395395256917</v>
      </c>
      <c r="I47" s="135">
        <f t="shared" si="5"/>
        <v>116.0980395256917</v>
      </c>
      <c r="J47" s="135">
        <f t="shared" si="5"/>
        <v>139.25653952569172</v>
      </c>
      <c r="K47" s="135">
        <f t="shared" si="5"/>
        <v>162.41503952569172</v>
      </c>
      <c r="L47" s="135">
        <f t="shared" si="5"/>
        <v>185.57353952569173</v>
      </c>
      <c r="M47" s="135">
        <f t="shared" si="5"/>
        <v>208.73203952569168</v>
      </c>
      <c r="N47" s="136">
        <f t="shared" si="5"/>
        <v>231.89053952569168</v>
      </c>
      <c r="O47" s="153"/>
      <c r="P47"/>
      <c r="Q47"/>
      <c r="R47"/>
      <c r="S47"/>
    </row>
    <row r="48" spans="1:19" ht="15">
      <c r="A48" s="16"/>
      <c r="B48" s="17"/>
      <c r="C48" s="18"/>
      <c r="D48" s="18"/>
      <c r="F48" s="51">
        <f>F44+4*C37</f>
        <v>110</v>
      </c>
      <c r="G48" s="126">
        <f t="shared" si="6"/>
        <v>46.965999999999994</v>
      </c>
      <c r="H48" s="135">
        <f t="shared" si="5"/>
        <v>88.29404347826085</v>
      </c>
      <c r="I48" s="135">
        <f t="shared" si="5"/>
        <v>111.77704347826085</v>
      </c>
      <c r="J48" s="135">
        <f t="shared" si="5"/>
        <v>135.26004347826085</v>
      </c>
      <c r="K48" s="135">
        <f t="shared" si="5"/>
        <v>158.74304347826086</v>
      </c>
      <c r="L48" s="135">
        <f t="shared" si="5"/>
        <v>182.22604347826086</v>
      </c>
      <c r="M48" s="135">
        <f t="shared" si="5"/>
        <v>205.7090434782608</v>
      </c>
      <c r="N48" s="136">
        <f t="shared" si="5"/>
        <v>229.1920434782608</v>
      </c>
      <c r="O48" s="153"/>
      <c r="P48"/>
      <c r="Q48"/>
      <c r="R48"/>
      <c r="S48"/>
    </row>
    <row r="49" spans="1:19" ht="13.5" customHeight="1">
      <c r="A49" s="16"/>
      <c r="B49" s="17"/>
      <c r="C49" s="18"/>
      <c r="D49" s="18"/>
      <c r="F49" s="180" t="s">
        <v>51</v>
      </c>
      <c r="G49" s="173"/>
      <c r="H49" s="173"/>
      <c r="I49" s="173"/>
      <c r="J49" s="173"/>
      <c r="K49" s="173"/>
      <c r="L49" s="173"/>
      <c r="M49" s="173"/>
      <c r="N49" s="174"/>
      <c r="O49" s="153"/>
      <c r="P49"/>
      <c r="Q49"/>
      <c r="R49"/>
      <c r="S49"/>
    </row>
    <row r="50" spans="1:19" ht="9.75" customHeight="1">
      <c r="A50" s="16"/>
      <c r="B50" s="17"/>
      <c r="C50" s="18"/>
      <c r="D50" s="18"/>
      <c r="F50" s="183" t="s">
        <v>16</v>
      </c>
      <c r="G50" s="175"/>
      <c r="H50" s="175"/>
      <c r="I50" s="175"/>
      <c r="J50" s="175"/>
      <c r="K50" s="175"/>
      <c r="L50" s="175"/>
      <c r="M50" s="175"/>
      <c r="N50" s="176"/>
      <c r="O50" s="153"/>
      <c r="P50"/>
      <c r="Q50"/>
      <c r="R50"/>
      <c r="S50"/>
    </row>
    <row r="51" spans="1:19" ht="9.75" customHeight="1">
      <c r="A51" s="16"/>
      <c r="B51" s="17"/>
      <c r="C51" s="18"/>
      <c r="D51" s="18"/>
      <c r="F51" s="183" t="s">
        <v>99</v>
      </c>
      <c r="G51" s="175"/>
      <c r="H51" s="175"/>
      <c r="I51" s="175"/>
      <c r="J51" s="175"/>
      <c r="K51" s="175"/>
      <c r="L51" s="175"/>
      <c r="M51" s="175"/>
      <c r="N51" s="176"/>
      <c r="O51" s="153"/>
      <c r="P51"/>
      <c r="Q51"/>
      <c r="R51"/>
      <c r="S51"/>
    </row>
    <row r="52" spans="1:19" ht="11.25" customHeight="1">
      <c r="A52" s="16"/>
      <c r="B52" s="17"/>
      <c r="C52" s="18"/>
      <c r="D52" s="18"/>
      <c r="F52" s="79" t="s">
        <v>85</v>
      </c>
      <c r="G52" s="80"/>
      <c r="H52" s="80"/>
      <c r="I52" s="80"/>
      <c r="J52" s="80"/>
      <c r="K52" s="130"/>
      <c r="L52" s="130"/>
      <c r="M52" s="130"/>
      <c r="N52" s="166"/>
      <c r="O52" s="153"/>
      <c r="P52"/>
      <c r="Q52"/>
      <c r="R52"/>
      <c r="S52"/>
    </row>
    <row r="53" spans="1:19" ht="12" customHeight="1" thickBot="1">
      <c r="A53" s="16"/>
      <c r="B53" s="17"/>
      <c r="C53" s="18"/>
      <c r="D53" s="18"/>
      <c r="F53" s="186" t="s">
        <v>38</v>
      </c>
      <c r="G53" s="177"/>
      <c r="H53" s="178"/>
      <c r="I53" s="178"/>
      <c r="J53" s="178"/>
      <c r="K53" s="170"/>
      <c r="L53" s="170"/>
      <c r="M53" s="170"/>
      <c r="N53" s="171"/>
      <c r="O53" s="153"/>
      <c r="P53"/>
      <c r="Q53"/>
      <c r="R53"/>
      <c r="S53"/>
    </row>
    <row r="54" spans="1:19" ht="11.25" customHeight="1">
      <c r="A54" s="16"/>
      <c r="B54" s="17"/>
      <c r="C54" s="18"/>
      <c r="D54" s="18"/>
      <c r="E54" s="53"/>
      <c r="F54" s="53"/>
      <c r="G54" s="53"/>
      <c r="H54" s="53"/>
      <c r="I54" s="53"/>
      <c r="J54" s="53"/>
      <c r="K54" s="12"/>
      <c r="L54" s="12"/>
      <c r="M54" s="12"/>
      <c r="N54" s="15"/>
      <c r="O54" s="153"/>
      <c r="P54"/>
      <c r="Q54"/>
      <c r="R54"/>
      <c r="S54"/>
    </row>
    <row r="55" spans="2:19" ht="11.25" customHeight="1" thickBot="1">
      <c r="B55" s="215"/>
      <c r="C55" s="216"/>
      <c r="D55" s="216"/>
      <c r="E55" s="216"/>
      <c r="F55" s="216"/>
      <c r="G55" s="216"/>
      <c r="H55" s="216"/>
      <c r="I55" s="216"/>
      <c r="J55" s="216"/>
      <c r="K55" s="55"/>
      <c r="L55" s="55"/>
      <c r="M55" s="55"/>
      <c r="N55" s="56"/>
      <c r="O55" s="153"/>
      <c r="P55"/>
      <c r="Q55"/>
      <c r="R55"/>
      <c r="S55"/>
    </row>
    <row r="56" spans="15:19" ht="12.75">
      <c r="O56" s="153"/>
      <c r="P56"/>
      <c r="Q56"/>
      <c r="R56"/>
      <c r="S56"/>
    </row>
  </sheetData>
  <sheetProtection password="CE5A" sheet="1" objects="1" scenarios="1"/>
  <mergeCells count="22">
    <mergeCell ref="B2:N2"/>
    <mergeCell ref="B3:N3"/>
    <mergeCell ref="L5:N5"/>
    <mergeCell ref="E26:N26"/>
    <mergeCell ref="H12:N12"/>
    <mergeCell ref="H13:N13"/>
    <mergeCell ref="E24:N24"/>
    <mergeCell ref="E5:G5"/>
    <mergeCell ref="B55:J55"/>
    <mergeCell ref="G8:G10"/>
    <mergeCell ref="G33:G35"/>
    <mergeCell ref="B32:C32"/>
    <mergeCell ref="I33:M33"/>
    <mergeCell ref="H37:N37"/>
    <mergeCell ref="H38:N38"/>
    <mergeCell ref="H5:K5"/>
    <mergeCell ref="E28:N28"/>
    <mergeCell ref="B30:J30"/>
    <mergeCell ref="E25:N25"/>
    <mergeCell ref="I8:M8"/>
    <mergeCell ref="B7:C7"/>
    <mergeCell ref="E27:N27"/>
  </mergeCells>
  <conditionalFormatting sqref="H40:H48">
    <cfRule type="cellIs" priority="1" dxfId="0" operator="between" stopIfTrue="1">
      <formula>MAX($H$40:$H$48)-0.5</formula>
      <formula>MAX($H$40:$H$48)+0.5</formula>
    </cfRule>
    <cfRule type="cellIs" priority="2" dxfId="1" operator="between" stopIfTrue="1">
      <formula>MAX($H$40:$H$48)-0.5</formula>
      <formula>MAX($H$40:$H$48)-1.5</formula>
    </cfRule>
    <cfRule type="cellIs" priority="3" dxfId="1" operator="between" stopIfTrue="1">
      <formula>MAX($H$40:$H$48+0.5)</formula>
      <formula>MAX($H$40:$H$48)+1.5</formula>
    </cfRule>
  </conditionalFormatting>
  <conditionalFormatting sqref="I40:I48">
    <cfRule type="cellIs" priority="4" dxfId="0" operator="between" stopIfTrue="1">
      <formula>MAX($I$40:$I$55)-0.5</formula>
      <formula>MAX($I$40:$I$55)+0.5</formula>
    </cfRule>
    <cfRule type="cellIs" priority="5" dxfId="1" operator="between" stopIfTrue="1">
      <formula>MAX($I$40:$I$55)-0.5</formula>
      <formula>MAX($I$40:$I$55)-1.5</formula>
    </cfRule>
    <cfRule type="cellIs" priority="6" dxfId="1" operator="between" stopIfTrue="1">
      <formula>MAX($I$40:$I$55)+0.5</formula>
      <formula>MAX($I$40:$I$55)+1.5</formula>
    </cfRule>
  </conditionalFormatting>
  <conditionalFormatting sqref="J40:J48">
    <cfRule type="cellIs" priority="7" dxfId="0" operator="between" stopIfTrue="1">
      <formula>MAX($J$40:$J$55)-0.5</formula>
      <formula>MAX($J$40:$J$55)+0.5</formula>
    </cfRule>
    <cfRule type="cellIs" priority="8" dxfId="1" operator="between" stopIfTrue="1">
      <formula>MAX($J$40:$J$55)-0.5</formula>
      <formula>MAX($J$40:$J$55)-1.5</formula>
    </cfRule>
    <cfRule type="cellIs" priority="9" dxfId="1" operator="between" stopIfTrue="1">
      <formula>MAX($J$40:$J$55)+0.5</formula>
      <formula>MAX($J$40:$J$55)+1.5</formula>
    </cfRule>
  </conditionalFormatting>
  <conditionalFormatting sqref="K40:K48">
    <cfRule type="cellIs" priority="10" dxfId="0" operator="between" stopIfTrue="1">
      <formula>MAX($K$40:$K$55)-0.5</formula>
      <formula>MAX($K$40:$K$55)+0.5</formula>
    </cfRule>
    <cfRule type="cellIs" priority="11" dxfId="1" operator="between" stopIfTrue="1">
      <formula>MAX($K$40:$K$55)-0.5</formula>
      <formula>MAX($K$40:$K$55)-1.5</formula>
    </cfRule>
    <cfRule type="cellIs" priority="12" dxfId="1" operator="between" stopIfTrue="1">
      <formula>MAX($K$40:$K$55)+0.5</formula>
      <formula>MAX($K$40:$K$55)+1.5</formula>
    </cfRule>
  </conditionalFormatting>
  <conditionalFormatting sqref="L40:L48">
    <cfRule type="cellIs" priority="13" dxfId="0" operator="between" stopIfTrue="1">
      <formula>MAX($L$40:$L$55)-0.5</formula>
      <formula>MAX($L$40:$L$55)+0.5</formula>
    </cfRule>
    <cfRule type="cellIs" priority="14" dxfId="1" operator="between" stopIfTrue="1">
      <formula>MAX($L$40:$L$55)-0.5</formula>
      <formula>MAX($L$40:$L$55)-1.5</formula>
    </cfRule>
    <cfRule type="cellIs" priority="15" dxfId="1" operator="between" stopIfTrue="1">
      <formula>MAX($L$40:$L$55)+0.5</formula>
      <formula>MAX($L$40:$L$55)+1.5</formula>
    </cfRule>
  </conditionalFormatting>
  <conditionalFormatting sqref="M40:M48">
    <cfRule type="cellIs" priority="16" dxfId="0" operator="between" stopIfTrue="1">
      <formula>MAX($M$40:$M$55)-0.5</formula>
      <formula>MAX($M$40:$M$55)+0.5</formula>
    </cfRule>
    <cfRule type="cellIs" priority="17" dxfId="1" operator="between" stopIfTrue="1">
      <formula>MAX($M$40:$M$55)-0.5</formula>
      <formula>MAX($M$40:$M$55)-1.5</formula>
    </cfRule>
    <cfRule type="cellIs" priority="18" dxfId="1" operator="between" stopIfTrue="1">
      <formula>MAX($M$40:$M$55)+0.5</formula>
      <formula>MAX($M$40:$M$55)+1.5</formula>
    </cfRule>
  </conditionalFormatting>
  <conditionalFormatting sqref="N40:N48">
    <cfRule type="cellIs" priority="19" dxfId="0" operator="between" stopIfTrue="1">
      <formula>MAX($N$40:$N$55)-0.5</formula>
      <formula>MAX($N$40:$N$55)+0.5</formula>
    </cfRule>
    <cfRule type="cellIs" priority="20" dxfId="1" operator="between" stopIfTrue="1">
      <formula>MAX($N$40:$N$55)-0.5</formula>
      <formula>MAX($N$40:$N$55)-1.5</formula>
    </cfRule>
    <cfRule type="cellIs" priority="21" dxfId="1" operator="between" stopIfTrue="1">
      <formula>MAX($N$40:$N$55)+0.5</formula>
      <formula>MAX($N$40:$N$55)+1.5</formula>
    </cfRule>
  </conditionalFormatting>
  <conditionalFormatting sqref="H15:H23">
    <cfRule type="cellIs" priority="22" dxfId="0" operator="between" stopIfTrue="1">
      <formula>MAX($H$15:$H$23)-0.5</formula>
      <formula>MAX($H$15:$H$23)+0.5</formula>
    </cfRule>
    <cfRule type="cellIs" priority="23" dxfId="1" operator="between" stopIfTrue="1">
      <formula>MAX($H$15:$H$23)-0.5</formula>
      <formula>MAX($H$15:$H$23)-1.5</formula>
    </cfRule>
    <cfRule type="cellIs" priority="24" dxfId="1" operator="between" stopIfTrue="1">
      <formula>MAX($H$15:$H$23)+0.5</formula>
      <formula>MAX($H$15:$H$23)+1.5</formula>
    </cfRule>
  </conditionalFormatting>
  <conditionalFormatting sqref="I15:I23">
    <cfRule type="cellIs" priority="25" dxfId="0" operator="between" stopIfTrue="1">
      <formula>MAX($I$15:$I$23)-0.5</formula>
      <formula>MAX($I$15:$I$23)+0.5</formula>
    </cfRule>
    <cfRule type="cellIs" priority="26" dxfId="1" operator="between" stopIfTrue="1">
      <formula>MAX($I$15:$I$23)-0.5</formula>
      <formula>MAX($I$15:$I$23)-1.5</formula>
    </cfRule>
    <cfRule type="cellIs" priority="27" dxfId="1" operator="between" stopIfTrue="1">
      <formula>MAX($I$15:$I$23)+0.5</formula>
      <formula>MAX($I$15:$I$23)+1.5</formula>
    </cfRule>
  </conditionalFormatting>
  <conditionalFormatting sqref="J15:J23">
    <cfRule type="cellIs" priority="28" dxfId="0" operator="between" stopIfTrue="1">
      <formula>MAX($J$15:$J$23)-0.5</formula>
      <formula>MAX($J$15:$J$23)+0.5</formula>
    </cfRule>
    <cfRule type="cellIs" priority="29" dxfId="1" operator="between" stopIfTrue="1">
      <formula>MAX($J$15:$J$23)-0.5</formula>
      <formula>MAX($J$15:$J$23)-1.5</formula>
    </cfRule>
    <cfRule type="cellIs" priority="30" dxfId="1" operator="between" stopIfTrue="1">
      <formula>MAX($J$15:$J$23)+0.5</formula>
      <formula>MAX($J$15:$J$23)+1.5</formula>
    </cfRule>
  </conditionalFormatting>
  <conditionalFormatting sqref="K15:K23">
    <cfRule type="cellIs" priority="31" dxfId="0" operator="between" stopIfTrue="1">
      <formula>MAX($K$15:$K$23)-0.5</formula>
      <formula>MAX($K$15:$K$23)+0.5</formula>
    </cfRule>
    <cfRule type="cellIs" priority="32" dxfId="1" operator="between" stopIfTrue="1">
      <formula>MAX($K$15:$K$23)-0.5</formula>
      <formula>MAX($K$15:$K$23)-1.5</formula>
    </cfRule>
    <cfRule type="cellIs" priority="33" dxfId="1" operator="between" stopIfTrue="1">
      <formula>MAX($K$15:$K$23)+0.5</formula>
      <formula>MAX($K$15:$K$23)+1.5</formula>
    </cfRule>
  </conditionalFormatting>
  <conditionalFormatting sqref="L15:L23">
    <cfRule type="cellIs" priority="34" dxfId="0" operator="between" stopIfTrue="1">
      <formula>MAX($L$15:$L$23)-0.5</formula>
      <formula>MAX($L$15:$L$23)+0.5</formula>
    </cfRule>
    <cfRule type="cellIs" priority="35" dxfId="1" operator="between" stopIfTrue="1">
      <formula>MAX($L$15:$L$23)-0.5</formula>
      <formula>MAX($L$15:$L$23)-1.5</formula>
    </cfRule>
    <cfRule type="cellIs" priority="36" dxfId="1" operator="between" stopIfTrue="1">
      <formula>MAX($L$15:$L$23)+0.5</formula>
      <formula>MAX($L$15:$L$23)+1.5</formula>
    </cfRule>
  </conditionalFormatting>
  <conditionalFormatting sqref="M15:M23">
    <cfRule type="cellIs" priority="37" dxfId="0" operator="between" stopIfTrue="1">
      <formula>MAX($M$15:$M$23)-0.5</formula>
      <formula>MAX($M$15:$M$23)+0.5</formula>
    </cfRule>
    <cfRule type="cellIs" priority="38" dxfId="1" operator="between" stopIfTrue="1">
      <formula>MAX($M$15:$M$23)-0.5</formula>
      <formula>MAX($M$15:$M$23)-1.5</formula>
    </cfRule>
    <cfRule type="cellIs" priority="39" dxfId="1" operator="between" stopIfTrue="1">
      <formula>MAX($M$15:$M$23)=0.5</formula>
      <formula>MAX($M$15:$M$23)+1.5</formula>
    </cfRule>
  </conditionalFormatting>
  <conditionalFormatting sqref="N15:N23">
    <cfRule type="cellIs" priority="40" dxfId="0" operator="between" stopIfTrue="1">
      <formula>MAX($N$15:$N$23)-0.5</formula>
      <formula>MAX($N$15:$N$23)+0.5</formula>
    </cfRule>
    <cfRule type="cellIs" priority="41" dxfId="1" operator="between" stopIfTrue="1">
      <formula>MAX($N$15:$N$23)-0.5</formula>
      <formula>MAX($N$15:$N$23)-1.5</formula>
    </cfRule>
    <cfRule type="cellIs" priority="42" dxfId="1" operator="between" stopIfTrue="1">
      <formula>MAX($N$15:$N$23)+0.5</formula>
      <formula>MAX($N$15:$N$23)+1.5</formula>
    </cfRule>
  </conditionalFormatting>
  <hyperlinks>
    <hyperlink ref="E5:G5" location="'Wheat (Dry) MR'!A1" display="Go to Marginal Revenue Chart"/>
    <hyperlink ref="H5:J5" location="'Wheat (Dry) Fertilizer'!A1" display="Go to Fertilizer Price as variable"/>
    <hyperlink ref="L5" location="'Data Entry'!A1" display="Return to Data Entry"/>
    <hyperlink ref="G8" location="'Wheat crop price'!D47" display="Go to Total Net Return"/>
    <hyperlink ref="G8:G10" location="'Wheat (Dry) Crop'!D53" display="Go to Total Net Return Below"/>
    <hyperlink ref="G33" location="'Wheat crop price'!D47" display="Go to Total Net Return"/>
    <hyperlink ref="G33:G35" location="'Wheat (Dry) Crop'!D1" display="Return to Net Return"/>
  </hyperlink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6"/>
  <sheetViews>
    <sheetView showGridLines="0" workbookViewId="0" topLeftCell="A1">
      <selection activeCell="G21" sqref="G21"/>
    </sheetView>
  </sheetViews>
  <sheetFormatPr defaultColWidth="9.140625" defaultRowHeight="12.75"/>
  <cols>
    <col min="1" max="1" width="1.57421875" style="10" customWidth="1"/>
    <col min="2" max="2" width="17.140625" style="10" customWidth="1"/>
    <col min="3" max="3" width="9.140625" style="10" customWidth="1"/>
    <col min="4" max="4" width="11.140625" style="10" customWidth="1"/>
    <col min="5" max="5" width="9.140625" style="10" customWidth="1"/>
    <col min="6" max="6" width="9.421875" style="10" customWidth="1"/>
    <col min="7" max="7" width="13.57421875" style="10" customWidth="1"/>
    <col min="8" max="14" width="9.140625" style="10" customWidth="1"/>
    <col min="15" max="15" width="10.421875" style="154" customWidth="1"/>
    <col min="16" max="16384" width="9.140625" style="10" customWidth="1"/>
  </cols>
  <sheetData>
    <row r="1" spans="2:10" ht="6" customHeight="1" thickBot="1">
      <c r="B1" s="11"/>
      <c r="C1" s="11"/>
      <c r="D1" s="11"/>
      <c r="E1" s="11"/>
      <c r="F1" s="11"/>
      <c r="G1" s="11"/>
      <c r="H1" s="11"/>
      <c r="I1" s="11"/>
      <c r="J1" s="11"/>
    </row>
    <row r="2" spans="1:14" ht="20.25">
      <c r="A2" s="11"/>
      <c r="B2" s="254" t="s">
        <v>40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6"/>
    </row>
    <row r="3" spans="1:14" ht="20.25">
      <c r="A3" s="11"/>
      <c r="B3" s="257" t="s">
        <v>49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9"/>
    </row>
    <row r="4" spans="1:17" ht="6.75" customHeight="1">
      <c r="A4" s="11"/>
      <c r="B4" s="13"/>
      <c r="C4" s="14"/>
      <c r="D4" s="14"/>
      <c r="E4" s="14"/>
      <c r="F4" s="14"/>
      <c r="G4" s="14"/>
      <c r="H4" s="14"/>
      <c r="I4" s="14"/>
      <c r="J4" s="14"/>
      <c r="K4" s="12"/>
      <c r="L4" s="12"/>
      <c r="M4" s="12"/>
      <c r="N4" s="15"/>
      <c r="O4" s="159"/>
      <c r="P4" s="158"/>
      <c r="Q4" s="158"/>
    </row>
    <row r="5" spans="2:17" ht="12.75">
      <c r="B5" s="198"/>
      <c r="C5" s="199"/>
      <c r="D5" s="199"/>
      <c r="E5" s="253" t="s">
        <v>110</v>
      </c>
      <c r="F5" s="253"/>
      <c r="G5" s="253"/>
      <c r="H5" s="253" t="s">
        <v>74</v>
      </c>
      <c r="I5" s="253"/>
      <c r="J5" s="253"/>
      <c r="K5" s="261" t="s">
        <v>96</v>
      </c>
      <c r="L5" s="260"/>
      <c r="M5" s="260"/>
      <c r="N5" s="15"/>
      <c r="P5" s="158"/>
      <c r="Q5" s="158"/>
    </row>
    <row r="6" spans="1:17" ht="4.5" customHeight="1" thickBot="1">
      <c r="A6" s="16"/>
      <c r="B6" s="17"/>
      <c r="C6" s="18"/>
      <c r="D6" s="18"/>
      <c r="E6" s="18"/>
      <c r="F6" s="18"/>
      <c r="G6" s="18"/>
      <c r="H6" s="18"/>
      <c r="I6" s="18"/>
      <c r="J6" s="18"/>
      <c r="K6" s="12"/>
      <c r="L6" s="12"/>
      <c r="M6" s="12"/>
      <c r="N6" s="15"/>
      <c r="O6" s="159"/>
      <c r="P6" s="158"/>
      <c r="Q6" s="158"/>
    </row>
    <row r="7" spans="1:15" ht="15.75" customHeight="1" thickBot="1">
      <c r="A7" s="16"/>
      <c r="B7" s="234" t="s">
        <v>39</v>
      </c>
      <c r="C7" s="235"/>
      <c r="E7" s="18"/>
      <c r="F7" s="18"/>
      <c r="G7" s="18"/>
      <c r="H7" s="18"/>
      <c r="I7" s="19"/>
      <c r="J7" s="18"/>
      <c r="K7" s="19"/>
      <c r="L7" s="12"/>
      <c r="M7" s="12"/>
      <c r="N7" s="15"/>
      <c r="O7" s="155"/>
    </row>
    <row r="8" spans="1:15" ht="15" customHeight="1">
      <c r="A8" s="16"/>
      <c r="B8" s="87" t="s">
        <v>1</v>
      </c>
      <c r="C8" s="21" t="str">
        <f>'Data Entry'!C7</f>
        <v>UREA</v>
      </c>
      <c r="D8" s="18"/>
      <c r="E8" s="22"/>
      <c r="F8" s="63"/>
      <c r="G8" s="213" t="s">
        <v>100</v>
      </c>
      <c r="H8" s="23"/>
      <c r="I8" s="266" t="s">
        <v>17</v>
      </c>
      <c r="J8" s="267"/>
      <c r="K8" s="267"/>
      <c r="L8" s="267"/>
      <c r="M8" s="267"/>
      <c r="N8" s="24"/>
      <c r="O8" s="155"/>
    </row>
    <row r="9" spans="1:15" ht="15">
      <c r="A9" s="16"/>
      <c r="B9" s="20" t="s">
        <v>3</v>
      </c>
      <c r="C9" s="59">
        <f>'Data Entry'!C8</f>
        <v>700</v>
      </c>
      <c r="D9" s="18"/>
      <c r="E9" s="17"/>
      <c r="F9" s="66"/>
      <c r="G9" s="214"/>
      <c r="H9" s="18"/>
      <c r="I9" s="19"/>
      <c r="J9" s="18"/>
      <c r="K9" s="19"/>
      <c r="L9" s="12"/>
      <c r="M9" s="12"/>
      <c r="N9" s="15"/>
      <c r="O9" s="155"/>
    </row>
    <row r="10" spans="1:15" ht="15">
      <c r="A10" s="16"/>
      <c r="B10" s="20" t="s">
        <v>4</v>
      </c>
      <c r="C10" s="25">
        <f>'Data Entry'!C9</f>
        <v>46</v>
      </c>
      <c r="D10" s="18"/>
      <c r="E10" s="17"/>
      <c r="F10" s="66"/>
      <c r="G10" s="214"/>
      <c r="H10" s="26">
        <f>K10-C14*3</f>
        <v>3.5</v>
      </c>
      <c r="I10" s="26">
        <f>K10-C14*2</f>
        <v>4</v>
      </c>
      <c r="J10" s="26">
        <f>K10-C14</f>
        <v>4.5</v>
      </c>
      <c r="K10" s="27">
        <f>'Data Entry'!F14</f>
        <v>5</v>
      </c>
      <c r="L10" s="26">
        <f>K10+C14</f>
        <v>5.5</v>
      </c>
      <c r="M10" s="26">
        <f>K10+C14*2</f>
        <v>6</v>
      </c>
      <c r="N10" s="28">
        <f>K10+C14*3</f>
        <v>6.5</v>
      </c>
      <c r="O10" s="155"/>
    </row>
    <row r="11" spans="1:15" ht="15">
      <c r="A11" s="16"/>
      <c r="B11" s="20" t="s">
        <v>5</v>
      </c>
      <c r="C11" s="61">
        <f>(C9/((C10/100)*2200))</f>
        <v>0.691699604743083</v>
      </c>
      <c r="D11" s="18"/>
      <c r="E11" s="17"/>
      <c r="F11" s="66"/>
      <c r="G11" s="29" t="s">
        <v>6</v>
      </c>
      <c r="H11" s="18"/>
      <c r="I11" s="18"/>
      <c r="J11" s="18"/>
      <c r="K11" s="12"/>
      <c r="L11" s="12"/>
      <c r="M11" s="12"/>
      <c r="N11" s="15"/>
      <c r="O11" s="155"/>
    </row>
    <row r="12" spans="1:15" ht="15">
      <c r="A12" s="16"/>
      <c r="B12" s="30" t="s">
        <v>20</v>
      </c>
      <c r="C12" s="31">
        <f>'Data Entry'!C11</f>
        <v>10</v>
      </c>
      <c r="D12" s="18"/>
      <c r="E12" s="32"/>
      <c r="F12" s="70" t="s">
        <v>67</v>
      </c>
      <c r="G12" s="29" t="s">
        <v>7</v>
      </c>
      <c r="H12" s="274" t="s">
        <v>8</v>
      </c>
      <c r="I12" s="274"/>
      <c r="J12" s="274"/>
      <c r="K12" s="274"/>
      <c r="L12" s="274"/>
      <c r="M12" s="274"/>
      <c r="N12" s="275"/>
      <c r="O12" s="155"/>
    </row>
    <row r="13" spans="1:19" ht="15.75" thickBot="1">
      <c r="A13" s="16"/>
      <c r="B13" s="33" t="s">
        <v>106</v>
      </c>
      <c r="C13" s="34"/>
      <c r="D13" s="18"/>
      <c r="E13" s="35" t="s">
        <v>9</v>
      </c>
      <c r="F13" s="73" t="s">
        <v>68</v>
      </c>
      <c r="G13" s="36" t="s">
        <v>10</v>
      </c>
      <c r="H13" s="219" t="s">
        <v>18</v>
      </c>
      <c r="I13" s="219"/>
      <c r="J13" s="219"/>
      <c r="K13" s="219"/>
      <c r="L13" s="219"/>
      <c r="M13" s="219"/>
      <c r="N13" s="212"/>
      <c r="O13" s="153"/>
      <c r="P13"/>
      <c r="Q13"/>
      <c r="R13"/>
      <c r="S13"/>
    </row>
    <row r="14" spans="1:19" ht="15">
      <c r="A14" s="16"/>
      <c r="B14" s="37" t="s">
        <v>108</v>
      </c>
      <c r="C14" s="57">
        <f>'Data Entry'!C13</f>
        <v>0.5</v>
      </c>
      <c r="D14" s="18"/>
      <c r="E14" s="39" t="s">
        <v>11</v>
      </c>
      <c r="F14" s="75" t="s">
        <v>12</v>
      </c>
      <c r="G14" s="40" t="s">
        <v>12</v>
      </c>
      <c r="H14" s="41">
        <f aca="true" t="shared" si="0" ref="H14:N14">H10/$C$11</f>
        <v>5.06</v>
      </c>
      <c r="I14" s="41">
        <f t="shared" si="0"/>
        <v>5.782857142857143</v>
      </c>
      <c r="J14" s="41">
        <f t="shared" si="0"/>
        <v>6.505714285714285</v>
      </c>
      <c r="K14" s="41">
        <f t="shared" si="0"/>
        <v>7.228571428571429</v>
      </c>
      <c r="L14" s="41">
        <f t="shared" si="0"/>
        <v>7.951428571428571</v>
      </c>
      <c r="M14" s="41">
        <f t="shared" si="0"/>
        <v>8.674285714285714</v>
      </c>
      <c r="N14" s="42">
        <f t="shared" si="0"/>
        <v>9.397142857142857</v>
      </c>
      <c r="O14" s="153"/>
      <c r="P14"/>
      <c r="Q14"/>
      <c r="R14"/>
      <c r="S14"/>
    </row>
    <row r="15" spans="1:19" ht="15">
      <c r="A15" s="16"/>
      <c r="B15" s="43" t="s">
        <v>28</v>
      </c>
      <c r="C15" s="34"/>
      <c r="D15" s="18"/>
      <c r="E15" s="44">
        <f>IF((E19-4*$C$12)&lt;0,0,(E19-4*$C$12))</f>
        <v>0</v>
      </c>
      <c r="F15" s="126">
        <f>G15+(-0.0038*($C$16)^2+0.5464*($C$16))+14.22</f>
        <v>27.192</v>
      </c>
      <c r="G15" s="126">
        <f>IF(((-0.0038*(E15+$C$16)^2+0.5464*(E15+$C$16))-(-0.0038*($C$16)^2+0.5464*($C$16)))&lt;0,0,(-0.0038*(E15+$C$16)^2+0.5464*(E15+$C$16))-(-0.0038*($C$16)^2+0.5464*($C$16)))</f>
        <v>0</v>
      </c>
      <c r="H15" s="135">
        <f aca="true" t="shared" si="1" ref="H15:N23">(H$10*$G15)-($C$11*($E15))</f>
        <v>0</v>
      </c>
      <c r="I15" s="135">
        <f t="shared" si="1"/>
        <v>0</v>
      </c>
      <c r="J15" s="135">
        <f t="shared" si="1"/>
        <v>0</v>
      </c>
      <c r="K15" s="135">
        <f t="shared" si="1"/>
        <v>0</v>
      </c>
      <c r="L15" s="135">
        <f t="shared" si="1"/>
        <v>0</v>
      </c>
      <c r="M15" s="135">
        <f t="shared" si="1"/>
        <v>0</v>
      </c>
      <c r="N15" s="136">
        <f t="shared" si="1"/>
        <v>0</v>
      </c>
      <c r="O15" s="153"/>
      <c r="P15"/>
      <c r="Q15"/>
      <c r="R15"/>
      <c r="S15"/>
    </row>
    <row r="16" spans="1:19" ht="15">
      <c r="A16" s="16"/>
      <c r="B16" s="37" t="s">
        <v>29</v>
      </c>
      <c r="C16" s="45">
        <f>'Data Entry'!C15</f>
        <v>30</v>
      </c>
      <c r="D16" s="18"/>
      <c r="E16" s="44">
        <f>IF((E20-4*$C$12)&lt;0,0,(E20-4*$C$12))</f>
        <v>10</v>
      </c>
      <c r="F16" s="126">
        <f aca="true" t="shared" si="2" ref="F16:F23">G16+(-0.0038*($C$16)^2+0.5464*($C$16))+14.22</f>
        <v>29.996000000000002</v>
      </c>
      <c r="G16" s="126">
        <f aca="true" t="shared" si="3" ref="G16:G23">IF(((-0.0038*(E16+$C$16)^2+0.5464*(E16+$C$16))-(-0.0038*($C$16)^2+0.5464*($C$16)))&lt;0,0,(-0.0038*(E16+$C$16)^2+0.5464*(E16+$C$16))-(-0.0038*($C$16)^2+0.5464*($C$16)))</f>
        <v>2.804000000000002</v>
      </c>
      <c r="H16" s="135">
        <f t="shared" si="1"/>
        <v>2.897003952569177</v>
      </c>
      <c r="I16" s="135">
        <f t="shared" si="1"/>
        <v>4.299003952569178</v>
      </c>
      <c r="J16" s="135">
        <f t="shared" si="1"/>
        <v>5.701003952569179</v>
      </c>
      <c r="K16" s="135">
        <f t="shared" si="1"/>
        <v>7.10300395256918</v>
      </c>
      <c r="L16" s="135">
        <f t="shared" si="1"/>
        <v>8.505003952569181</v>
      </c>
      <c r="M16" s="135">
        <f t="shared" si="1"/>
        <v>9.907003952569182</v>
      </c>
      <c r="N16" s="136">
        <f t="shared" si="1"/>
        <v>11.309003952569183</v>
      </c>
      <c r="O16" s="153"/>
      <c r="P16"/>
      <c r="Q16"/>
      <c r="R16"/>
      <c r="S16"/>
    </row>
    <row r="17" spans="1:19" ht="15">
      <c r="A17" s="16"/>
      <c r="B17" s="43" t="s">
        <v>30</v>
      </c>
      <c r="C17" s="46"/>
      <c r="D17" s="18"/>
      <c r="E17" s="44">
        <f>IF((E21-4*$C$12)&lt;0,0,(E21-4*$C$12))</f>
        <v>20</v>
      </c>
      <c r="F17" s="126">
        <f t="shared" si="2"/>
        <v>32.04</v>
      </c>
      <c r="G17" s="126">
        <f t="shared" si="3"/>
        <v>4.848000000000001</v>
      </c>
      <c r="H17" s="135">
        <f t="shared" si="1"/>
        <v>3.1340079051383434</v>
      </c>
      <c r="I17" s="135">
        <f t="shared" si="1"/>
        <v>5.558007905138343</v>
      </c>
      <c r="J17" s="135">
        <f t="shared" si="1"/>
        <v>7.982007905138342</v>
      </c>
      <c r="K17" s="135">
        <f t="shared" si="1"/>
        <v>10.406007905138342</v>
      </c>
      <c r="L17" s="135">
        <f t="shared" si="1"/>
        <v>12.830007905138345</v>
      </c>
      <c r="M17" s="135">
        <f t="shared" si="1"/>
        <v>15.254007905138344</v>
      </c>
      <c r="N17" s="136">
        <f t="shared" si="1"/>
        <v>17.678007905138344</v>
      </c>
      <c r="O17" s="153"/>
      <c r="P17"/>
      <c r="Q17"/>
      <c r="R17"/>
      <c r="S17"/>
    </row>
    <row r="18" spans="1:19" ht="15.75" thickBot="1">
      <c r="A18" s="16"/>
      <c r="B18" s="17"/>
      <c r="C18" s="18"/>
      <c r="D18" s="18"/>
      <c r="E18" s="44">
        <f>IF((E22-4*$C$12)&lt;0,0,(E22-4*$C$12))</f>
        <v>30</v>
      </c>
      <c r="F18" s="126">
        <f t="shared" si="2"/>
        <v>33.324</v>
      </c>
      <c r="G18" s="126">
        <f t="shared" si="3"/>
        <v>6.132</v>
      </c>
      <c r="H18" s="135">
        <f t="shared" si="1"/>
        <v>0.7110118577075077</v>
      </c>
      <c r="I18" s="135">
        <f t="shared" si="1"/>
        <v>3.7770118577075067</v>
      </c>
      <c r="J18" s="135">
        <f t="shared" si="1"/>
        <v>6.843011857707506</v>
      </c>
      <c r="K18" s="135">
        <f t="shared" si="1"/>
        <v>9.909011857707505</v>
      </c>
      <c r="L18" s="135">
        <f t="shared" si="1"/>
        <v>12.975011857707507</v>
      </c>
      <c r="M18" s="135">
        <f t="shared" si="1"/>
        <v>16.04101185770751</v>
      </c>
      <c r="N18" s="136">
        <f t="shared" si="1"/>
        <v>19.107011857707505</v>
      </c>
      <c r="O18" s="153"/>
      <c r="P18"/>
      <c r="Q18"/>
      <c r="R18"/>
      <c r="S18"/>
    </row>
    <row r="19" spans="1:19" ht="15.75" thickBot="1">
      <c r="A19" s="16"/>
      <c r="B19" s="47"/>
      <c r="C19" s="48"/>
      <c r="D19" s="49" t="s">
        <v>13</v>
      </c>
      <c r="E19" s="50">
        <f>'Data Entry'!H9</f>
        <v>40</v>
      </c>
      <c r="F19" s="126">
        <f t="shared" si="2"/>
        <v>33.848</v>
      </c>
      <c r="G19" s="126">
        <f t="shared" si="3"/>
        <v>6.655999999999997</v>
      </c>
      <c r="H19" s="135">
        <f t="shared" si="1"/>
        <v>-4.371984189723332</v>
      </c>
      <c r="I19" s="135">
        <f t="shared" si="1"/>
        <v>-1.0439841897233322</v>
      </c>
      <c r="J19" s="135">
        <f t="shared" si="1"/>
        <v>2.2840158102766672</v>
      </c>
      <c r="K19" s="135">
        <f t="shared" si="1"/>
        <v>5.612015810276667</v>
      </c>
      <c r="L19" s="135">
        <f t="shared" si="1"/>
        <v>8.940015810276662</v>
      </c>
      <c r="M19" s="135">
        <f t="shared" si="1"/>
        <v>12.268015810276658</v>
      </c>
      <c r="N19" s="136">
        <f t="shared" si="1"/>
        <v>15.596015810276661</v>
      </c>
      <c r="O19" s="153"/>
      <c r="P19"/>
      <c r="Q19"/>
      <c r="R19"/>
      <c r="S19"/>
    </row>
    <row r="20" spans="1:19" ht="15">
      <c r="A20" s="16"/>
      <c r="B20" s="17"/>
      <c r="C20" s="18"/>
      <c r="D20" s="18"/>
      <c r="E20" s="51">
        <f>E19+C12</f>
        <v>50</v>
      </c>
      <c r="F20" s="126">
        <f t="shared" si="2"/>
        <v>33.612</v>
      </c>
      <c r="G20" s="126">
        <f t="shared" si="3"/>
        <v>6.4200000000000035</v>
      </c>
      <c r="H20" s="135">
        <f t="shared" si="1"/>
        <v>-12.114980237154136</v>
      </c>
      <c r="I20" s="135">
        <f t="shared" si="1"/>
        <v>-8.904980237154135</v>
      </c>
      <c r="J20" s="135">
        <f t="shared" si="1"/>
        <v>-5.694980237154134</v>
      </c>
      <c r="K20" s="135">
        <f t="shared" si="1"/>
        <v>-2.484980237154133</v>
      </c>
      <c r="L20" s="135">
        <f t="shared" si="1"/>
        <v>0.7250197628458679</v>
      </c>
      <c r="M20" s="135">
        <f t="shared" si="1"/>
        <v>3.935019762845876</v>
      </c>
      <c r="N20" s="136">
        <f t="shared" si="1"/>
        <v>7.145019762845877</v>
      </c>
      <c r="O20" s="153"/>
      <c r="P20"/>
      <c r="Q20"/>
      <c r="R20"/>
      <c r="S20"/>
    </row>
    <row r="21" spans="1:19" ht="15">
      <c r="A21" s="16"/>
      <c r="B21" s="17"/>
      <c r="C21" s="52"/>
      <c r="D21" s="18"/>
      <c r="E21" s="51">
        <f>E19+2*C12</f>
        <v>60</v>
      </c>
      <c r="F21" s="126">
        <f t="shared" si="2"/>
        <v>32.616</v>
      </c>
      <c r="G21" s="126">
        <f t="shared" si="3"/>
        <v>5.424000000000001</v>
      </c>
      <c r="H21" s="135">
        <f t="shared" si="1"/>
        <v>-22.51797628458498</v>
      </c>
      <c r="I21" s="135">
        <f t="shared" si="1"/>
        <v>-19.80597628458498</v>
      </c>
      <c r="J21" s="135">
        <f t="shared" si="1"/>
        <v>-17.09397628458498</v>
      </c>
      <c r="K21" s="135">
        <f t="shared" si="1"/>
        <v>-14.38197628458498</v>
      </c>
      <c r="L21" s="135">
        <f t="shared" si="1"/>
        <v>-11.669976284584976</v>
      </c>
      <c r="M21" s="135">
        <f t="shared" si="1"/>
        <v>-8.957976284584973</v>
      </c>
      <c r="N21" s="136">
        <f t="shared" si="1"/>
        <v>-6.245976284584977</v>
      </c>
      <c r="O21" s="153"/>
      <c r="P21"/>
      <c r="Q21"/>
      <c r="R21"/>
      <c r="S21"/>
    </row>
    <row r="22" spans="1:19" ht="15">
      <c r="A22" s="16"/>
      <c r="B22" s="17"/>
      <c r="C22" s="18"/>
      <c r="D22" s="18"/>
      <c r="E22" s="51">
        <f>E19+3*C12</f>
        <v>70</v>
      </c>
      <c r="F22" s="126">
        <f t="shared" si="2"/>
        <v>30.86</v>
      </c>
      <c r="G22" s="126">
        <f t="shared" si="3"/>
        <v>3.668000000000001</v>
      </c>
      <c r="H22" s="135">
        <f t="shared" si="1"/>
        <v>-35.580972332015804</v>
      </c>
      <c r="I22" s="135">
        <f t="shared" si="1"/>
        <v>-33.74697233201581</v>
      </c>
      <c r="J22" s="135">
        <f t="shared" si="1"/>
        <v>-31.91297233201581</v>
      </c>
      <c r="K22" s="135">
        <f t="shared" si="1"/>
        <v>-30.07897233201581</v>
      </c>
      <c r="L22" s="135">
        <f t="shared" si="1"/>
        <v>-28.244972332015806</v>
      </c>
      <c r="M22" s="135">
        <f t="shared" si="1"/>
        <v>-26.410972332015806</v>
      </c>
      <c r="N22" s="136">
        <f t="shared" si="1"/>
        <v>-24.576972332015806</v>
      </c>
      <c r="O22" s="153"/>
      <c r="P22"/>
      <c r="Q22"/>
      <c r="R22"/>
      <c r="S22"/>
    </row>
    <row r="23" spans="1:19" ht="15">
      <c r="A23" s="16"/>
      <c r="B23" s="17"/>
      <c r="C23" s="18"/>
      <c r="D23" s="18"/>
      <c r="E23" s="51">
        <f>E19+4*C12</f>
        <v>80</v>
      </c>
      <c r="F23" s="126">
        <f t="shared" si="2"/>
        <v>28.344</v>
      </c>
      <c r="G23" s="126">
        <f t="shared" si="3"/>
        <v>1.1520000000000028</v>
      </c>
      <c r="H23" s="135">
        <f t="shared" si="1"/>
        <v>-51.30396837944663</v>
      </c>
      <c r="I23" s="135">
        <f t="shared" si="1"/>
        <v>-50.72796837944663</v>
      </c>
      <c r="J23" s="135">
        <f t="shared" si="1"/>
        <v>-50.15196837944663</v>
      </c>
      <c r="K23" s="135">
        <f t="shared" si="1"/>
        <v>-49.57596837944663</v>
      </c>
      <c r="L23" s="135">
        <f t="shared" si="1"/>
        <v>-48.99996837944663</v>
      </c>
      <c r="M23" s="135">
        <f t="shared" si="1"/>
        <v>-48.42396837944662</v>
      </c>
      <c r="N23" s="136">
        <f t="shared" si="1"/>
        <v>-47.84796837944662</v>
      </c>
      <c r="O23" s="153"/>
      <c r="P23"/>
      <c r="Q23"/>
      <c r="R23"/>
      <c r="S23"/>
    </row>
    <row r="24" spans="1:19" ht="13.5" customHeight="1">
      <c r="A24" s="16"/>
      <c r="B24" s="17"/>
      <c r="C24" s="18"/>
      <c r="D24" s="18"/>
      <c r="E24" s="276" t="s">
        <v>52</v>
      </c>
      <c r="F24" s="277"/>
      <c r="G24" s="277"/>
      <c r="H24" s="277"/>
      <c r="I24" s="277"/>
      <c r="J24" s="277"/>
      <c r="K24" s="277"/>
      <c r="L24" s="277"/>
      <c r="M24" s="277"/>
      <c r="N24" s="278"/>
      <c r="O24" s="153"/>
      <c r="P24"/>
      <c r="Q24"/>
      <c r="R24"/>
      <c r="S24"/>
    </row>
    <row r="25" spans="1:19" ht="9.75" customHeight="1">
      <c r="A25" s="16"/>
      <c r="B25" s="17"/>
      <c r="C25" s="18"/>
      <c r="D25" s="18"/>
      <c r="E25" s="263" t="s">
        <v>16</v>
      </c>
      <c r="F25" s="264"/>
      <c r="G25" s="264"/>
      <c r="H25" s="264"/>
      <c r="I25" s="264"/>
      <c r="J25" s="264"/>
      <c r="K25" s="264"/>
      <c r="L25" s="264"/>
      <c r="M25" s="264"/>
      <c r="N25" s="265"/>
      <c r="O25" s="153"/>
      <c r="P25"/>
      <c r="Q25"/>
      <c r="R25"/>
      <c r="S25"/>
    </row>
    <row r="26" spans="1:19" ht="9.75" customHeight="1">
      <c r="A26" s="16"/>
      <c r="B26" s="17"/>
      <c r="C26" s="18"/>
      <c r="D26" s="18"/>
      <c r="E26" s="263" t="s">
        <v>19</v>
      </c>
      <c r="F26" s="264"/>
      <c r="G26" s="264"/>
      <c r="H26" s="264"/>
      <c r="I26" s="264"/>
      <c r="J26" s="264"/>
      <c r="K26" s="264"/>
      <c r="L26" s="264"/>
      <c r="M26" s="264"/>
      <c r="N26" s="265"/>
      <c r="O26" s="153"/>
      <c r="P26"/>
      <c r="Q26"/>
      <c r="R26"/>
      <c r="S26"/>
    </row>
    <row r="27" spans="1:19" ht="11.25" customHeight="1">
      <c r="A27" s="16"/>
      <c r="B27" s="17"/>
      <c r="C27" s="18"/>
      <c r="D27" s="18"/>
      <c r="E27" s="249" t="s">
        <v>85</v>
      </c>
      <c r="F27" s="250"/>
      <c r="G27" s="250"/>
      <c r="H27" s="250"/>
      <c r="I27" s="250"/>
      <c r="J27" s="250"/>
      <c r="K27" s="251"/>
      <c r="L27" s="251"/>
      <c r="M27" s="251"/>
      <c r="N27" s="252"/>
      <c r="O27" s="153"/>
      <c r="P27"/>
      <c r="Q27"/>
      <c r="R27"/>
      <c r="S27"/>
    </row>
    <row r="28" spans="1:19" ht="12" customHeight="1" thickBot="1">
      <c r="A28" s="16"/>
      <c r="B28" s="17"/>
      <c r="C28" s="18"/>
      <c r="D28" s="18"/>
      <c r="E28" s="269" t="s">
        <v>38</v>
      </c>
      <c r="F28" s="270"/>
      <c r="G28" s="271"/>
      <c r="H28" s="271"/>
      <c r="I28" s="271"/>
      <c r="J28" s="271"/>
      <c r="K28" s="272"/>
      <c r="L28" s="272"/>
      <c r="M28" s="272"/>
      <c r="N28" s="273"/>
      <c r="O28" s="153"/>
      <c r="P28"/>
      <c r="Q28"/>
      <c r="R28"/>
      <c r="S28"/>
    </row>
    <row r="29" spans="1:19" ht="11.25" customHeight="1">
      <c r="A29" s="16"/>
      <c r="B29" s="17"/>
      <c r="C29" s="18"/>
      <c r="D29" s="18"/>
      <c r="E29" s="53"/>
      <c r="F29" s="53"/>
      <c r="G29" s="53"/>
      <c r="H29" s="53"/>
      <c r="I29" s="53"/>
      <c r="J29" s="53"/>
      <c r="K29" s="12"/>
      <c r="L29" s="12"/>
      <c r="M29" s="12"/>
      <c r="N29" s="15"/>
      <c r="O29" s="153"/>
      <c r="P29"/>
      <c r="Q29"/>
      <c r="R29"/>
      <c r="S29"/>
    </row>
    <row r="30" spans="2:19" ht="11.25" customHeight="1" thickBot="1">
      <c r="B30" s="215"/>
      <c r="C30" s="216"/>
      <c r="D30" s="216"/>
      <c r="E30" s="216"/>
      <c r="F30" s="216"/>
      <c r="G30" s="216"/>
      <c r="H30" s="216"/>
      <c r="I30" s="216"/>
      <c r="J30" s="216"/>
      <c r="K30" s="55"/>
      <c r="L30" s="55"/>
      <c r="M30" s="55"/>
      <c r="N30" s="56"/>
      <c r="O30" s="153"/>
      <c r="P30"/>
      <c r="Q30"/>
      <c r="R30"/>
      <c r="S30"/>
    </row>
    <row r="31" spans="14:19" ht="5.25" customHeight="1" thickBot="1">
      <c r="N31" s="24"/>
      <c r="O31" s="153"/>
      <c r="P31"/>
      <c r="Q31"/>
      <c r="R31"/>
      <c r="S31"/>
    </row>
    <row r="32" spans="1:15" ht="15.75" customHeight="1" thickBot="1">
      <c r="A32" s="16"/>
      <c r="B32" s="234" t="s">
        <v>39</v>
      </c>
      <c r="C32" s="235"/>
      <c r="E32" s="18"/>
      <c r="F32" s="18"/>
      <c r="G32" s="18"/>
      <c r="H32" s="18"/>
      <c r="I32" s="19"/>
      <c r="J32" s="18"/>
      <c r="K32" s="19"/>
      <c r="L32" s="12"/>
      <c r="M32" s="12"/>
      <c r="N32" s="15"/>
      <c r="O32" s="155"/>
    </row>
    <row r="33" spans="1:15" ht="15" customHeight="1">
      <c r="A33" s="16"/>
      <c r="B33" s="87" t="s">
        <v>1</v>
      </c>
      <c r="C33" s="21" t="str">
        <f>'Data Entry'!C7</f>
        <v>UREA</v>
      </c>
      <c r="D33" s="18"/>
      <c r="F33" s="22"/>
      <c r="G33" s="213" t="s">
        <v>102</v>
      </c>
      <c r="H33" s="23"/>
      <c r="I33" s="266" t="s">
        <v>17</v>
      </c>
      <c r="J33" s="267"/>
      <c r="K33" s="267"/>
      <c r="L33" s="267"/>
      <c r="M33" s="267"/>
      <c r="N33" s="24"/>
      <c r="O33" s="155"/>
    </row>
    <row r="34" spans="1:15" ht="15">
      <c r="A34" s="16"/>
      <c r="B34" s="20" t="s">
        <v>3</v>
      </c>
      <c r="C34" s="179">
        <f>'Data Entry'!C8</f>
        <v>700</v>
      </c>
      <c r="D34" s="18"/>
      <c r="F34" s="17"/>
      <c r="G34" s="214"/>
      <c r="H34" s="18"/>
      <c r="I34" s="19"/>
      <c r="J34" s="18"/>
      <c r="K34" s="19"/>
      <c r="L34" s="12"/>
      <c r="M34" s="12"/>
      <c r="N34" s="15"/>
      <c r="O34" s="155"/>
    </row>
    <row r="35" spans="1:15" ht="15">
      <c r="A35" s="16"/>
      <c r="B35" s="20" t="s">
        <v>4</v>
      </c>
      <c r="C35" s="25">
        <f>'Data Entry'!C9</f>
        <v>46</v>
      </c>
      <c r="D35" s="18"/>
      <c r="F35" s="17"/>
      <c r="G35" s="214"/>
      <c r="H35" s="26">
        <f>K35-C39*3</f>
        <v>3.5</v>
      </c>
      <c r="I35" s="26">
        <f>K35-C39*2</f>
        <v>4</v>
      </c>
      <c r="J35" s="26">
        <f>K35-C39</f>
        <v>4.5</v>
      </c>
      <c r="K35" s="27">
        <f>'Data Entry'!F14</f>
        <v>5</v>
      </c>
      <c r="L35" s="26">
        <f>K35+C39</f>
        <v>5.5</v>
      </c>
      <c r="M35" s="26">
        <f>K35+C39*2</f>
        <v>6</v>
      </c>
      <c r="N35" s="28">
        <f>K35+C39*3</f>
        <v>6.5</v>
      </c>
      <c r="O35" s="155"/>
    </row>
    <row r="36" spans="1:15" ht="15">
      <c r="A36" s="16"/>
      <c r="B36" s="20" t="s">
        <v>5</v>
      </c>
      <c r="C36" s="61">
        <f>(C34/((C35/100)*2200))</f>
        <v>0.691699604743083</v>
      </c>
      <c r="D36" s="18"/>
      <c r="F36" s="17"/>
      <c r="G36" s="29" t="s">
        <v>6</v>
      </c>
      <c r="H36" s="18"/>
      <c r="I36" s="18"/>
      <c r="J36" s="18"/>
      <c r="K36" s="12"/>
      <c r="L36" s="12"/>
      <c r="M36" s="12"/>
      <c r="N36" s="15"/>
      <c r="O36" s="155"/>
    </row>
    <row r="37" spans="1:19" ht="15">
      <c r="A37" s="16"/>
      <c r="B37" s="30" t="s">
        <v>20</v>
      </c>
      <c r="C37" s="31">
        <f>'Data Entry'!C11</f>
        <v>10</v>
      </c>
      <c r="D37" s="18"/>
      <c r="F37" s="32"/>
      <c r="G37" s="70" t="s">
        <v>67</v>
      </c>
      <c r="H37" s="217" t="s">
        <v>112</v>
      </c>
      <c r="I37" s="217"/>
      <c r="J37" s="217"/>
      <c r="K37" s="217"/>
      <c r="L37" s="217"/>
      <c r="M37" s="217"/>
      <c r="N37" s="218"/>
      <c r="O37" s="153"/>
      <c r="P37"/>
      <c r="Q37"/>
      <c r="R37"/>
      <c r="S37"/>
    </row>
    <row r="38" spans="1:19" ht="15.75" thickBot="1">
      <c r="A38" s="16"/>
      <c r="B38" s="33" t="s">
        <v>106</v>
      </c>
      <c r="C38" s="34"/>
      <c r="D38" s="18"/>
      <c r="F38" s="35" t="s">
        <v>9</v>
      </c>
      <c r="G38" s="73" t="s">
        <v>68</v>
      </c>
      <c r="H38" s="219" t="s">
        <v>18</v>
      </c>
      <c r="I38" s="219"/>
      <c r="J38" s="219"/>
      <c r="K38" s="219"/>
      <c r="L38" s="219"/>
      <c r="M38" s="219"/>
      <c r="N38" s="212"/>
      <c r="O38" s="153"/>
      <c r="P38"/>
      <c r="Q38"/>
      <c r="R38"/>
      <c r="S38"/>
    </row>
    <row r="39" spans="1:19" ht="15">
      <c r="A39" s="16"/>
      <c r="B39" s="37" t="s">
        <v>108</v>
      </c>
      <c r="C39" s="57">
        <f>'Data Entry'!C13</f>
        <v>0.5</v>
      </c>
      <c r="D39" s="18"/>
      <c r="F39" s="39" t="s">
        <v>11</v>
      </c>
      <c r="G39" s="75" t="s">
        <v>12</v>
      </c>
      <c r="H39" s="41">
        <f aca="true" t="shared" si="4" ref="H39:N39">H35/$C$11</f>
        <v>5.06</v>
      </c>
      <c r="I39" s="41">
        <f t="shared" si="4"/>
        <v>5.782857142857143</v>
      </c>
      <c r="J39" s="41">
        <f t="shared" si="4"/>
        <v>6.505714285714285</v>
      </c>
      <c r="K39" s="41">
        <f t="shared" si="4"/>
        <v>7.228571428571429</v>
      </c>
      <c r="L39" s="41">
        <f t="shared" si="4"/>
        <v>7.951428571428571</v>
      </c>
      <c r="M39" s="41">
        <f t="shared" si="4"/>
        <v>8.674285714285714</v>
      </c>
      <c r="N39" s="42">
        <f t="shared" si="4"/>
        <v>9.397142857142857</v>
      </c>
      <c r="O39" s="153"/>
      <c r="P39"/>
      <c r="Q39"/>
      <c r="R39"/>
      <c r="S39"/>
    </row>
    <row r="40" spans="1:19" ht="15">
      <c r="A40" s="16"/>
      <c r="B40" s="43" t="s">
        <v>28</v>
      </c>
      <c r="C40" s="34"/>
      <c r="D40" s="18"/>
      <c r="F40" s="44">
        <f>IF((F44-4*$C$12)&lt;0,0,(F44-4*$C$12))</f>
        <v>0</v>
      </c>
      <c r="G40" s="126">
        <f>G15+(-0.0038*($C$16)^2+0.5464*($C$16))+14.22</f>
        <v>27.192</v>
      </c>
      <c r="H40" s="135">
        <f aca="true" t="shared" si="5" ref="H40:N48">(H$10*$G40)-($C$11*($F40))</f>
        <v>95.172</v>
      </c>
      <c r="I40" s="135">
        <f t="shared" si="5"/>
        <v>108.768</v>
      </c>
      <c r="J40" s="135">
        <f t="shared" si="5"/>
        <v>122.364</v>
      </c>
      <c r="K40" s="135">
        <f t="shared" si="5"/>
        <v>135.96</v>
      </c>
      <c r="L40" s="135">
        <f t="shared" si="5"/>
        <v>149.556</v>
      </c>
      <c r="M40" s="135">
        <f t="shared" si="5"/>
        <v>163.152</v>
      </c>
      <c r="N40" s="136">
        <f t="shared" si="5"/>
        <v>176.748</v>
      </c>
      <c r="O40" s="153"/>
      <c r="P40"/>
      <c r="Q40"/>
      <c r="R40"/>
      <c r="S40"/>
    </row>
    <row r="41" spans="1:19" ht="15">
      <c r="A41" s="16"/>
      <c r="B41" s="37" t="s">
        <v>29</v>
      </c>
      <c r="C41" s="45">
        <f>'Data Entry'!C15</f>
        <v>30</v>
      </c>
      <c r="D41" s="18"/>
      <c r="F41" s="44">
        <f>IF((F45-4*$C$12)&lt;0,0,(F45-4*$C$12))</f>
        <v>10</v>
      </c>
      <c r="G41" s="126">
        <f aca="true" t="shared" si="6" ref="G41:G48">G16+(-0.0038*($C$16)^2+0.5464*($C$16))+14.22</f>
        <v>29.996000000000002</v>
      </c>
      <c r="H41" s="135">
        <f t="shared" si="5"/>
        <v>98.06900395256918</v>
      </c>
      <c r="I41" s="135">
        <f t="shared" si="5"/>
        <v>113.06700395256918</v>
      </c>
      <c r="J41" s="135">
        <f t="shared" si="5"/>
        <v>128.06500395256916</v>
      </c>
      <c r="K41" s="135">
        <f t="shared" si="5"/>
        <v>143.06300395256918</v>
      </c>
      <c r="L41" s="135">
        <f t="shared" si="5"/>
        <v>158.06100395256917</v>
      </c>
      <c r="M41" s="135">
        <f t="shared" si="5"/>
        <v>173.05900395256916</v>
      </c>
      <c r="N41" s="136">
        <f t="shared" si="5"/>
        <v>188.05700395256918</v>
      </c>
      <c r="O41" s="153"/>
      <c r="P41"/>
      <c r="Q41"/>
      <c r="R41"/>
      <c r="S41"/>
    </row>
    <row r="42" spans="1:19" ht="15">
      <c r="A42" s="16"/>
      <c r="B42" s="43" t="s">
        <v>30</v>
      </c>
      <c r="C42" s="46"/>
      <c r="D42" s="18"/>
      <c r="F42" s="44">
        <f>IF((F46-4*$C$12)&lt;0,0,(F46-4*$C$12))</f>
        <v>20</v>
      </c>
      <c r="G42" s="126">
        <f t="shared" si="6"/>
        <v>32.04</v>
      </c>
      <c r="H42" s="135">
        <f t="shared" si="5"/>
        <v>98.30600790513834</v>
      </c>
      <c r="I42" s="135">
        <f t="shared" si="5"/>
        <v>114.32600790513834</v>
      </c>
      <c r="J42" s="135">
        <f t="shared" si="5"/>
        <v>130.34600790513835</v>
      </c>
      <c r="K42" s="135">
        <f t="shared" si="5"/>
        <v>146.36600790513833</v>
      </c>
      <c r="L42" s="135">
        <f t="shared" si="5"/>
        <v>162.38600790513834</v>
      </c>
      <c r="M42" s="135">
        <f t="shared" si="5"/>
        <v>178.40600790513835</v>
      </c>
      <c r="N42" s="136">
        <f t="shared" si="5"/>
        <v>194.42600790513833</v>
      </c>
      <c r="O42" s="153"/>
      <c r="P42"/>
      <c r="Q42"/>
      <c r="R42"/>
      <c r="S42"/>
    </row>
    <row r="43" spans="1:19" ht="15.75" thickBot="1">
      <c r="A43" s="16"/>
      <c r="B43" s="17"/>
      <c r="C43" s="18"/>
      <c r="D43" s="18"/>
      <c r="F43" s="44">
        <f>IF((F47-4*$C$12)&lt;0,0,(F47-4*$C$12))</f>
        <v>30</v>
      </c>
      <c r="G43" s="126">
        <f t="shared" si="6"/>
        <v>33.324</v>
      </c>
      <c r="H43" s="135">
        <f t="shared" si="5"/>
        <v>95.88301185770749</v>
      </c>
      <c r="I43" s="135">
        <f t="shared" si="5"/>
        <v>112.5450118577075</v>
      </c>
      <c r="J43" s="135">
        <f t="shared" si="5"/>
        <v>129.2070118577075</v>
      </c>
      <c r="K43" s="135">
        <f t="shared" si="5"/>
        <v>145.8690118577075</v>
      </c>
      <c r="L43" s="135">
        <f t="shared" si="5"/>
        <v>162.53101185770748</v>
      </c>
      <c r="M43" s="135">
        <f t="shared" si="5"/>
        <v>179.1930118577075</v>
      </c>
      <c r="N43" s="136">
        <f t="shared" si="5"/>
        <v>195.8550118577075</v>
      </c>
      <c r="O43" s="153"/>
      <c r="P43"/>
      <c r="Q43"/>
      <c r="R43"/>
      <c r="S43"/>
    </row>
    <row r="44" spans="1:19" ht="15.75" thickBot="1">
      <c r="A44" s="16"/>
      <c r="B44" s="47"/>
      <c r="C44" s="48"/>
      <c r="E44" s="49" t="s">
        <v>13</v>
      </c>
      <c r="F44" s="50">
        <f>E19</f>
        <v>40</v>
      </c>
      <c r="G44" s="126">
        <f t="shared" si="6"/>
        <v>33.848</v>
      </c>
      <c r="H44" s="135">
        <f t="shared" si="5"/>
        <v>90.80001581027668</v>
      </c>
      <c r="I44" s="135">
        <f t="shared" si="5"/>
        <v>107.72401581027668</v>
      </c>
      <c r="J44" s="135">
        <f t="shared" si="5"/>
        <v>124.64801581027669</v>
      </c>
      <c r="K44" s="135">
        <f t="shared" si="5"/>
        <v>141.5720158102767</v>
      </c>
      <c r="L44" s="135">
        <f t="shared" si="5"/>
        <v>158.49601581027667</v>
      </c>
      <c r="M44" s="135">
        <f t="shared" si="5"/>
        <v>175.42001581027668</v>
      </c>
      <c r="N44" s="136">
        <f t="shared" si="5"/>
        <v>192.3440158102767</v>
      </c>
      <c r="O44" s="153"/>
      <c r="P44"/>
      <c r="Q44"/>
      <c r="R44"/>
      <c r="S44"/>
    </row>
    <row r="45" spans="1:19" ht="15">
      <c r="A45" s="16"/>
      <c r="B45" s="17"/>
      <c r="C45" s="18"/>
      <c r="D45" s="18"/>
      <c r="F45" s="51">
        <f>F44+C37</f>
        <v>50</v>
      </c>
      <c r="G45" s="126">
        <f t="shared" si="6"/>
        <v>33.612</v>
      </c>
      <c r="H45" s="135">
        <f t="shared" si="5"/>
        <v>83.05701976284587</v>
      </c>
      <c r="I45" s="135">
        <f t="shared" si="5"/>
        <v>99.86301976284585</v>
      </c>
      <c r="J45" s="135">
        <f t="shared" si="5"/>
        <v>116.66901976284586</v>
      </c>
      <c r="K45" s="135">
        <f t="shared" si="5"/>
        <v>133.47501976284585</v>
      </c>
      <c r="L45" s="135">
        <f t="shared" si="5"/>
        <v>150.28101976284586</v>
      </c>
      <c r="M45" s="135">
        <f t="shared" si="5"/>
        <v>167.08701976284587</v>
      </c>
      <c r="N45" s="136">
        <f t="shared" si="5"/>
        <v>183.89301976284585</v>
      </c>
      <c r="O45" s="153"/>
      <c r="P45"/>
      <c r="Q45"/>
      <c r="R45"/>
      <c r="S45"/>
    </row>
    <row r="46" spans="1:19" ht="15">
      <c r="A46" s="16"/>
      <c r="B46" s="17"/>
      <c r="C46" s="52"/>
      <c r="D46" s="18"/>
      <c r="F46" s="51">
        <f>F44+2*C37</f>
        <v>60</v>
      </c>
      <c r="G46" s="126">
        <f t="shared" si="6"/>
        <v>32.616</v>
      </c>
      <c r="H46" s="135">
        <f t="shared" si="5"/>
        <v>72.65402371541502</v>
      </c>
      <c r="I46" s="135">
        <f t="shared" si="5"/>
        <v>88.96202371541501</v>
      </c>
      <c r="J46" s="135">
        <f t="shared" si="5"/>
        <v>105.27002371541501</v>
      </c>
      <c r="K46" s="135">
        <f t="shared" si="5"/>
        <v>121.578023715415</v>
      </c>
      <c r="L46" s="135">
        <f t="shared" si="5"/>
        <v>137.88602371541504</v>
      </c>
      <c r="M46" s="135">
        <f t="shared" si="5"/>
        <v>154.19402371541503</v>
      </c>
      <c r="N46" s="136">
        <f t="shared" si="5"/>
        <v>170.50202371541502</v>
      </c>
      <c r="O46" s="153"/>
      <c r="P46"/>
      <c r="Q46"/>
      <c r="R46"/>
      <c r="S46"/>
    </row>
    <row r="47" spans="1:19" ht="15">
      <c r="A47" s="16"/>
      <c r="B47" s="17"/>
      <c r="C47" s="18"/>
      <c r="D47" s="18"/>
      <c r="F47" s="51">
        <f>F44+3*C37</f>
        <v>70</v>
      </c>
      <c r="G47" s="126">
        <f t="shared" si="6"/>
        <v>30.86</v>
      </c>
      <c r="H47" s="135">
        <f t="shared" si="5"/>
        <v>59.59102766798418</v>
      </c>
      <c r="I47" s="135">
        <f t="shared" si="5"/>
        <v>75.02102766798419</v>
      </c>
      <c r="J47" s="135">
        <f t="shared" si="5"/>
        <v>90.45102766798419</v>
      </c>
      <c r="K47" s="135">
        <f t="shared" si="5"/>
        <v>105.8810276679842</v>
      </c>
      <c r="L47" s="135">
        <f t="shared" si="5"/>
        <v>121.31102766798418</v>
      </c>
      <c r="M47" s="135">
        <f t="shared" si="5"/>
        <v>136.74102766798418</v>
      </c>
      <c r="N47" s="136">
        <f t="shared" si="5"/>
        <v>152.1710276679842</v>
      </c>
      <c r="O47" s="153"/>
      <c r="P47"/>
      <c r="Q47"/>
      <c r="R47"/>
      <c r="S47"/>
    </row>
    <row r="48" spans="1:19" ht="15">
      <c r="A48" s="16"/>
      <c r="B48" s="17"/>
      <c r="C48" s="18"/>
      <c r="D48" s="18"/>
      <c r="F48" s="51">
        <f>F44+4*C37</f>
        <v>80</v>
      </c>
      <c r="G48" s="126">
        <f t="shared" si="6"/>
        <v>28.344</v>
      </c>
      <c r="H48" s="135">
        <f t="shared" si="5"/>
        <v>43.86803162055337</v>
      </c>
      <c r="I48" s="135">
        <f t="shared" si="5"/>
        <v>58.040031620553364</v>
      </c>
      <c r="J48" s="135">
        <f t="shared" si="5"/>
        <v>72.21203162055336</v>
      </c>
      <c r="K48" s="135">
        <f t="shared" si="5"/>
        <v>86.38403162055336</v>
      </c>
      <c r="L48" s="135">
        <f t="shared" si="5"/>
        <v>100.55603162055336</v>
      </c>
      <c r="M48" s="135">
        <f t="shared" si="5"/>
        <v>114.72803162055338</v>
      </c>
      <c r="N48" s="136">
        <f t="shared" si="5"/>
        <v>128.90003162055336</v>
      </c>
      <c r="O48" s="153"/>
      <c r="P48"/>
      <c r="Q48"/>
      <c r="R48"/>
      <c r="S48"/>
    </row>
    <row r="49" spans="1:19" ht="13.5" customHeight="1">
      <c r="A49" s="16"/>
      <c r="B49" s="17"/>
      <c r="C49" s="18"/>
      <c r="D49" s="18"/>
      <c r="F49" s="180" t="s">
        <v>52</v>
      </c>
      <c r="G49" s="173"/>
      <c r="H49" s="173"/>
      <c r="I49" s="173"/>
      <c r="J49" s="173"/>
      <c r="K49" s="173"/>
      <c r="L49" s="173"/>
      <c r="M49" s="173"/>
      <c r="N49" s="174"/>
      <c r="O49" s="153"/>
      <c r="P49"/>
      <c r="Q49"/>
      <c r="R49"/>
      <c r="S49"/>
    </row>
    <row r="50" spans="1:19" ht="9.75" customHeight="1">
      <c r="A50" s="16"/>
      <c r="B50" s="17"/>
      <c r="C50" s="18"/>
      <c r="D50" s="18"/>
      <c r="F50" s="183" t="s">
        <v>16</v>
      </c>
      <c r="G50" s="175"/>
      <c r="H50" s="175"/>
      <c r="I50" s="175"/>
      <c r="J50" s="175"/>
      <c r="K50" s="175"/>
      <c r="L50" s="175"/>
      <c r="M50" s="175"/>
      <c r="N50" s="176"/>
      <c r="O50" s="153"/>
      <c r="P50"/>
      <c r="Q50"/>
      <c r="R50"/>
      <c r="S50"/>
    </row>
    <row r="51" spans="1:19" ht="9.75" customHeight="1">
      <c r="A51" s="16"/>
      <c r="B51" s="17"/>
      <c r="C51" s="18"/>
      <c r="D51" s="18"/>
      <c r="F51" s="183" t="s">
        <v>99</v>
      </c>
      <c r="G51" s="175"/>
      <c r="H51" s="175"/>
      <c r="I51" s="175"/>
      <c r="J51" s="175"/>
      <c r="K51" s="175"/>
      <c r="L51" s="175"/>
      <c r="M51" s="175"/>
      <c r="N51" s="176"/>
      <c r="O51" s="153"/>
      <c r="P51"/>
      <c r="Q51"/>
      <c r="R51"/>
      <c r="S51"/>
    </row>
    <row r="52" spans="1:19" ht="11.25" customHeight="1">
      <c r="A52" s="16"/>
      <c r="B52" s="17"/>
      <c r="C52" s="18"/>
      <c r="D52" s="18"/>
      <c r="F52" s="79" t="s">
        <v>85</v>
      </c>
      <c r="G52" s="80"/>
      <c r="H52" s="80"/>
      <c r="I52" s="80"/>
      <c r="J52" s="80"/>
      <c r="K52" s="130"/>
      <c r="L52" s="130"/>
      <c r="M52" s="130"/>
      <c r="N52" s="166"/>
      <c r="O52" s="153"/>
      <c r="P52"/>
      <c r="Q52"/>
      <c r="R52"/>
      <c r="S52"/>
    </row>
    <row r="53" spans="1:19" ht="12" customHeight="1" thickBot="1">
      <c r="A53" s="16"/>
      <c r="B53" s="17"/>
      <c r="C53" s="18"/>
      <c r="D53" s="18"/>
      <c r="F53" s="186" t="s">
        <v>38</v>
      </c>
      <c r="G53" s="177"/>
      <c r="H53" s="178"/>
      <c r="I53" s="178"/>
      <c r="J53" s="178"/>
      <c r="K53" s="170"/>
      <c r="L53" s="170"/>
      <c r="M53" s="170"/>
      <c r="N53" s="171"/>
      <c r="O53" s="153"/>
      <c r="P53"/>
      <c r="Q53"/>
      <c r="R53"/>
      <c r="S53"/>
    </row>
    <row r="54" spans="1:19" ht="11.25" customHeight="1">
      <c r="A54" s="16"/>
      <c r="B54" s="17"/>
      <c r="C54" s="18"/>
      <c r="D54" s="18"/>
      <c r="E54" s="53"/>
      <c r="F54" s="53"/>
      <c r="G54" s="53"/>
      <c r="H54" s="53"/>
      <c r="I54" s="53"/>
      <c r="J54" s="53"/>
      <c r="K54" s="12"/>
      <c r="L54" s="12"/>
      <c r="M54" s="12"/>
      <c r="N54" s="15"/>
      <c r="O54" s="153"/>
      <c r="P54"/>
      <c r="Q54"/>
      <c r="R54"/>
      <c r="S54"/>
    </row>
    <row r="55" spans="2:19" ht="11.25" customHeight="1" thickBot="1">
      <c r="B55" s="215"/>
      <c r="C55" s="216"/>
      <c r="D55" s="216"/>
      <c r="E55" s="216"/>
      <c r="F55" s="216"/>
      <c r="G55" s="216"/>
      <c r="H55" s="216"/>
      <c r="I55" s="216"/>
      <c r="J55" s="216"/>
      <c r="K55" s="55"/>
      <c r="L55" s="55"/>
      <c r="M55" s="55"/>
      <c r="N55" s="56"/>
      <c r="O55" s="153"/>
      <c r="P55"/>
      <c r="Q55"/>
      <c r="R55"/>
      <c r="S55"/>
    </row>
    <row r="56" spans="15:19" ht="12.75">
      <c r="O56" s="153"/>
      <c r="P56"/>
      <c r="Q56"/>
      <c r="R56"/>
      <c r="S56"/>
    </row>
  </sheetData>
  <sheetProtection password="CE5A" sheet="1" objects="1" scenarios="1"/>
  <mergeCells count="22">
    <mergeCell ref="B55:J55"/>
    <mergeCell ref="G8:G10"/>
    <mergeCell ref="B32:C32"/>
    <mergeCell ref="G33:G35"/>
    <mergeCell ref="I33:M33"/>
    <mergeCell ref="H37:N37"/>
    <mergeCell ref="H12:N12"/>
    <mergeCell ref="B30:J30"/>
    <mergeCell ref="I8:M8"/>
    <mergeCell ref="E25:N25"/>
    <mergeCell ref="B7:C7"/>
    <mergeCell ref="H38:N38"/>
    <mergeCell ref="E26:N26"/>
    <mergeCell ref="E28:N28"/>
    <mergeCell ref="E27:N27"/>
    <mergeCell ref="H13:N13"/>
    <mergeCell ref="E24:N24"/>
    <mergeCell ref="E5:G5"/>
    <mergeCell ref="H5:J5"/>
    <mergeCell ref="B2:N2"/>
    <mergeCell ref="B3:N3"/>
    <mergeCell ref="K5:M5"/>
  </mergeCells>
  <conditionalFormatting sqref="H40:H48">
    <cfRule type="cellIs" priority="1" dxfId="0" operator="between" stopIfTrue="1">
      <formula>MAX($H$40:$H$48)-0.5</formula>
      <formula>MAX($H$40:$H$48)+0.5</formula>
    </cfRule>
    <cfRule type="cellIs" priority="2" dxfId="1" operator="between" stopIfTrue="1">
      <formula>MAX($H$40:$H$48)-0.5</formula>
      <formula>MAX($H$40:$H$48)-1.5</formula>
    </cfRule>
    <cfRule type="cellIs" priority="3" dxfId="1" operator="between" stopIfTrue="1">
      <formula>MAX($H$40:$H$48+0.5)</formula>
      <formula>MAX($H$40:$H$48)+1.5</formula>
    </cfRule>
  </conditionalFormatting>
  <conditionalFormatting sqref="I40:I48">
    <cfRule type="cellIs" priority="4" dxfId="0" operator="between" stopIfTrue="1">
      <formula>MAX($I$40:$I$55)-0.5</formula>
      <formula>MAX($I$40:$I$55)+0.5</formula>
    </cfRule>
    <cfRule type="cellIs" priority="5" dxfId="1" operator="between" stopIfTrue="1">
      <formula>MAX($I$40:$I$55)-0.5</formula>
      <formula>MAX($I$40:$I$55)-1.5</formula>
    </cfRule>
    <cfRule type="cellIs" priority="6" dxfId="1" operator="between" stopIfTrue="1">
      <formula>MAX($I$40:$I$55)+0.5</formula>
      <formula>MAX($I$40:$I$55)+1.5</formula>
    </cfRule>
  </conditionalFormatting>
  <conditionalFormatting sqref="J40:J48">
    <cfRule type="cellIs" priority="7" dxfId="0" operator="between" stopIfTrue="1">
      <formula>MAX($J$40:$J$55)-0.5</formula>
      <formula>MAX($J$40:$J$55)+0.5</formula>
    </cfRule>
    <cfRule type="cellIs" priority="8" dxfId="1" operator="between" stopIfTrue="1">
      <formula>MAX($J$40:$J$55)-0.5</formula>
      <formula>MAX($J$40:$J$55)-1.5</formula>
    </cfRule>
    <cfRule type="cellIs" priority="9" dxfId="1" operator="between" stopIfTrue="1">
      <formula>MAX($J$40:$J$55)+0.5</formula>
      <formula>MAX($J$40:$J$55)+1.5</formula>
    </cfRule>
  </conditionalFormatting>
  <conditionalFormatting sqref="K40:K48">
    <cfRule type="cellIs" priority="10" dxfId="0" operator="between" stopIfTrue="1">
      <formula>MAX($K$40:$K$55)-0.5</formula>
      <formula>MAX($K$40:$K$55)+0.5</formula>
    </cfRule>
    <cfRule type="cellIs" priority="11" dxfId="1" operator="between" stopIfTrue="1">
      <formula>MAX($K$40:$K$55)-0.5</formula>
      <formula>MAX($K$40:$K$55)-1.5</formula>
    </cfRule>
    <cfRule type="cellIs" priority="12" dxfId="1" operator="between" stopIfTrue="1">
      <formula>MAX($K$40:$K$55)+0.5</formula>
      <formula>MAX($K$40:$K$55)+1.5</formula>
    </cfRule>
  </conditionalFormatting>
  <conditionalFormatting sqref="L40:L48">
    <cfRule type="cellIs" priority="13" dxfId="0" operator="between" stopIfTrue="1">
      <formula>MAX($L$40:$L$55)-0.5</formula>
      <formula>MAX($L$40:$L$55)+0.5</formula>
    </cfRule>
    <cfRule type="cellIs" priority="14" dxfId="1" operator="between" stopIfTrue="1">
      <formula>MAX($L$40:$L$55)-0.5</formula>
      <formula>MAX($L$40:$L$55)-1.5</formula>
    </cfRule>
    <cfRule type="cellIs" priority="15" dxfId="1" operator="between" stopIfTrue="1">
      <formula>MAX($L$40:$L$55)+0.5</formula>
      <formula>MAX($L$40:$L$55)+1.5</formula>
    </cfRule>
  </conditionalFormatting>
  <conditionalFormatting sqref="M40:M48">
    <cfRule type="cellIs" priority="16" dxfId="0" operator="between" stopIfTrue="1">
      <formula>MAX($M$40:$M$55)-0.5</formula>
      <formula>MAX($M$40:$M$55)+0.5</formula>
    </cfRule>
    <cfRule type="cellIs" priority="17" dxfId="1" operator="between" stopIfTrue="1">
      <formula>MAX($M$40:$M$55)-0.5</formula>
      <formula>MAX($M$40:$M$55)-1.5</formula>
    </cfRule>
    <cfRule type="cellIs" priority="18" dxfId="1" operator="between" stopIfTrue="1">
      <formula>MAX($M$40:$M$55)+0.5</formula>
      <formula>MAX($M$40:$M$55)+1.5</formula>
    </cfRule>
  </conditionalFormatting>
  <conditionalFormatting sqref="N40:N48">
    <cfRule type="cellIs" priority="19" dxfId="0" operator="between" stopIfTrue="1">
      <formula>MAX($N$40:$N$55)-0.5</formula>
      <formula>MAX($N$40:$N$55)+0.5</formula>
    </cfRule>
    <cfRule type="cellIs" priority="20" dxfId="1" operator="between" stopIfTrue="1">
      <formula>MAX($N$40:$N$55)-0.5</formula>
      <formula>MAX($N$40:$N$55)-1.5</formula>
    </cfRule>
    <cfRule type="cellIs" priority="21" dxfId="1" operator="between" stopIfTrue="1">
      <formula>MAX($N$40:$N$55)+0.5</formula>
      <formula>MAX($N$40:$N$55)+1.5</formula>
    </cfRule>
  </conditionalFormatting>
  <conditionalFormatting sqref="H15:H23">
    <cfRule type="cellIs" priority="22" dxfId="0" operator="between" stopIfTrue="1">
      <formula>MAX($H$15:$H$23)-0.5</formula>
      <formula>MAX($H$15:$H$23)+0.5</formula>
    </cfRule>
    <cfRule type="cellIs" priority="23" dxfId="1" operator="between" stopIfTrue="1">
      <formula>MAX($H$15:$H$23)-0.5</formula>
      <formula>MAX($H$15:$H$23)-1.5</formula>
    </cfRule>
    <cfRule type="cellIs" priority="24" dxfId="1" operator="between" stopIfTrue="1">
      <formula>MAX($H$15:$H$23)+0.5</formula>
      <formula>MAX($H$15:$H$23)+1.5</formula>
    </cfRule>
  </conditionalFormatting>
  <conditionalFormatting sqref="I15:I23">
    <cfRule type="cellIs" priority="25" dxfId="0" operator="between" stopIfTrue="1">
      <formula>MAX($I$15:$I$23)-0.5</formula>
      <formula>MAX($I$15:$I$23)+0.5</formula>
    </cfRule>
    <cfRule type="cellIs" priority="26" dxfId="1" operator="between" stopIfTrue="1">
      <formula>MAX($I$15:$I$23)-0.5</formula>
      <formula>MAX($I$15:$I$23)-1.5</formula>
    </cfRule>
    <cfRule type="cellIs" priority="27" dxfId="1" operator="between" stopIfTrue="1">
      <formula>MAX($I$15:$I$23)+0.5</formula>
      <formula>MAX($I$15:$I$23)+1.5</formula>
    </cfRule>
  </conditionalFormatting>
  <conditionalFormatting sqref="J15:J23">
    <cfRule type="cellIs" priority="28" dxfId="0" operator="between" stopIfTrue="1">
      <formula>MAX($J$15:$J$23)-0.5</formula>
      <formula>MAX($J$15:$J$23)+0.5</formula>
    </cfRule>
    <cfRule type="cellIs" priority="29" dxfId="1" operator="between" stopIfTrue="1">
      <formula>MAX($J$15:$J$23)-0.5</formula>
      <formula>MAX($J$15:$J$23)-1.5</formula>
    </cfRule>
    <cfRule type="cellIs" priority="30" dxfId="1" operator="between" stopIfTrue="1">
      <formula>MAX($J$15:$J$23)+0.5</formula>
      <formula>MAX($J$15:$J$23)+1.5</formula>
    </cfRule>
  </conditionalFormatting>
  <conditionalFormatting sqref="K15:K23">
    <cfRule type="cellIs" priority="31" dxfId="0" operator="between" stopIfTrue="1">
      <formula>MAX($K$15:$K$23)-0.5</formula>
      <formula>MAX($K$15:$K$23)+0.5</formula>
    </cfRule>
    <cfRule type="cellIs" priority="32" dxfId="1" operator="between" stopIfTrue="1">
      <formula>MAX($K$15:$K$23)-0.5</formula>
      <formula>MAX($K$15:$K$23)-1.5</formula>
    </cfRule>
    <cfRule type="cellIs" priority="33" dxfId="1" operator="between" stopIfTrue="1">
      <formula>MAX($K$15:$K$23)+0.5</formula>
      <formula>MAX($K$15:$K$23)+1.5</formula>
    </cfRule>
  </conditionalFormatting>
  <conditionalFormatting sqref="L15:L23">
    <cfRule type="cellIs" priority="34" dxfId="0" operator="between" stopIfTrue="1">
      <formula>MAX($L$15:$L$23)-0.5</formula>
      <formula>MAX($L$15:$L$23)+0.5</formula>
    </cfRule>
    <cfRule type="cellIs" priority="35" dxfId="1" operator="between" stopIfTrue="1">
      <formula>MAX($L$15:$L$23)-0.5</formula>
      <formula>MAX($L$15:$L$23)-1.5</formula>
    </cfRule>
    <cfRule type="cellIs" priority="36" dxfId="1" operator="between" stopIfTrue="1">
      <formula>MAX($L$15:$L$23)+0.5</formula>
      <formula>MAX($L$15:$L$23)+1.5</formula>
    </cfRule>
  </conditionalFormatting>
  <conditionalFormatting sqref="M15:M23">
    <cfRule type="cellIs" priority="37" dxfId="0" operator="between" stopIfTrue="1">
      <formula>MAX($M$15:$M$23)-0.5</formula>
      <formula>MAX($M$15:$M$23)+0.5</formula>
    </cfRule>
    <cfRule type="cellIs" priority="38" dxfId="1" operator="between" stopIfTrue="1">
      <formula>MAX($M$15:$M$23)-0.5</formula>
      <formula>MAX($M$15:$M$23)-1.5</formula>
    </cfRule>
    <cfRule type="cellIs" priority="39" dxfId="1" operator="between" stopIfTrue="1">
      <formula>MAX($M$15:$M$23)=0.5</formula>
      <formula>MAX($M$15:$M$23)+1.5</formula>
    </cfRule>
  </conditionalFormatting>
  <conditionalFormatting sqref="N15:N23">
    <cfRule type="cellIs" priority="40" dxfId="0" operator="between" stopIfTrue="1">
      <formula>MAX($N$15:$N$23)-0.5</formula>
      <formula>MAX($N$15:$N$23)+0.5</formula>
    </cfRule>
    <cfRule type="cellIs" priority="41" dxfId="1" operator="between" stopIfTrue="1">
      <formula>MAX($N$15:$N$23)-0.5</formula>
      <formula>MAX($N$15:$N$23)-1.5</formula>
    </cfRule>
    <cfRule type="cellIs" priority="42" dxfId="1" operator="between" stopIfTrue="1">
      <formula>MAX($N$15:$N$23)+0.5</formula>
      <formula>MAX($N$15:$N$23)+1.5</formula>
    </cfRule>
  </conditionalFormatting>
  <hyperlinks>
    <hyperlink ref="E5:G5" location="'Wheat (Arid) MR'!A1" display="Go to Marginal Revenue Chart"/>
    <hyperlink ref="H5:J5" location="'Wheat (Arid) Fertilizer'!A1" display="Go to Fertilizer as variable"/>
    <hyperlink ref="K5" location="'Data Entry'!A1" display="Return to Data Entry"/>
    <hyperlink ref="G33" location="'Wheat crop price'!D47" display="Go to Total Net Return"/>
    <hyperlink ref="G33:G35" location="'Wheat (Arid) Crop'!D1" display="Return to Net Return"/>
    <hyperlink ref="G8" location="'Wheat crop price'!D47" display="Go to Total Net Return"/>
    <hyperlink ref="G8:G10" location="'Wheat (Arid) Crop'!D53" display="Go to Total Net Return Below"/>
  </hyperlink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6"/>
  <sheetViews>
    <sheetView showGridLines="0" workbookViewId="0" topLeftCell="A1">
      <selection activeCell="F18" sqref="F18"/>
    </sheetView>
  </sheetViews>
  <sheetFormatPr defaultColWidth="9.140625" defaultRowHeight="12.75"/>
  <cols>
    <col min="1" max="1" width="1.57421875" style="10" customWidth="1"/>
    <col min="2" max="2" width="17.28125" style="10" customWidth="1"/>
    <col min="3" max="3" width="9.28125" style="10" bestFit="1" customWidth="1"/>
    <col min="4" max="4" width="9.140625" style="10" customWidth="1"/>
    <col min="5" max="5" width="9.28125" style="10" bestFit="1" customWidth="1"/>
    <col min="6" max="6" width="9.28125" style="10" customWidth="1"/>
    <col min="7" max="7" width="13.57421875" style="10" customWidth="1"/>
    <col min="8" max="11" width="9.28125" style="10" bestFit="1" customWidth="1"/>
    <col min="12" max="13" width="9.421875" style="10" bestFit="1" customWidth="1"/>
    <col min="14" max="14" width="9.140625" style="10" customWidth="1"/>
    <col min="15" max="15" width="11.421875" style="10" customWidth="1"/>
    <col min="16" max="16384" width="9.140625" style="10" customWidth="1"/>
  </cols>
  <sheetData>
    <row r="1" spans="2:10" ht="6" customHeight="1" thickBot="1">
      <c r="B1" s="11"/>
      <c r="C1" s="11"/>
      <c r="D1" s="11"/>
      <c r="E1" s="11"/>
      <c r="F1" s="11"/>
      <c r="G1" s="11"/>
      <c r="H1" s="11"/>
      <c r="I1" s="11"/>
      <c r="J1" s="11"/>
    </row>
    <row r="2" spans="1:14" ht="18.75" customHeight="1">
      <c r="A2" s="11"/>
      <c r="B2" s="254" t="s">
        <v>40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6"/>
    </row>
    <row r="3" spans="1:14" ht="20.25">
      <c r="A3" s="11"/>
      <c r="B3" s="257" t="s">
        <v>47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9"/>
    </row>
    <row r="4" spans="1:15" ht="6.75" customHeight="1">
      <c r="A4" s="11"/>
      <c r="B4" s="13"/>
      <c r="C4" s="14"/>
      <c r="D4" s="14"/>
      <c r="E4" s="14"/>
      <c r="F4" s="14"/>
      <c r="G4" s="14"/>
      <c r="H4" s="14"/>
      <c r="I4" s="14"/>
      <c r="J4" s="14"/>
      <c r="K4" s="12"/>
      <c r="L4" s="12"/>
      <c r="M4" s="12"/>
      <c r="N4" s="15"/>
      <c r="O4" s="162"/>
    </row>
    <row r="5" spans="2:14" ht="12.75">
      <c r="B5" s="198"/>
      <c r="C5" s="199"/>
      <c r="D5" s="199"/>
      <c r="E5" s="279" t="s">
        <v>110</v>
      </c>
      <c r="F5" s="280"/>
      <c r="G5" s="280"/>
      <c r="H5" s="279" t="s">
        <v>70</v>
      </c>
      <c r="I5" s="280"/>
      <c r="J5" s="280"/>
      <c r="K5" s="280"/>
      <c r="L5" s="261" t="s">
        <v>96</v>
      </c>
      <c r="M5" s="281"/>
      <c r="N5" s="282"/>
    </row>
    <row r="6" spans="1:14" ht="4.5" customHeight="1" thickBot="1">
      <c r="A6" s="16"/>
      <c r="B6" s="17"/>
      <c r="C6" s="18"/>
      <c r="D6" s="18"/>
      <c r="E6" s="18"/>
      <c r="F6" s="18"/>
      <c r="G6" s="18"/>
      <c r="H6" s="18"/>
      <c r="I6" s="18"/>
      <c r="J6" s="18"/>
      <c r="K6" s="12"/>
      <c r="L6" s="12"/>
      <c r="M6" s="12"/>
      <c r="N6" s="15"/>
    </row>
    <row r="7" spans="1:15" ht="15.75" customHeight="1" thickBot="1">
      <c r="A7" s="16"/>
      <c r="B7" s="234" t="s">
        <v>39</v>
      </c>
      <c r="C7" s="235"/>
      <c r="D7" s="18"/>
      <c r="E7" s="18"/>
      <c r="F7" s="18"/>
      <c r="G7" s="18"/>
      <c r="H7" s="18"/>
      <c r="I7" s="19"/>
      <c r="J7" s="18"/>
      <c r="K7" s="19"/>
      <c r="L7" s="12"/>
      <c r="M7" s="12"/>
      <c r="N7" s="15"/>
      <c r="O7" s="127"/>
    </row>
    <row r="8" spans="1:14" ht="15" customHeight="1">
      <c r="A8" s="16"/>
      <c r="B8" s="87" t="s">
        <v>1</v>
      </c>
      <c r="C8" s="21" t="str">
        <f>'Data Entry'!C7</f>
        <v>UREA</v>
      </c>
      <c r="D8" s="18"/>
      <c r="E8" s="22"/>
      <c r="F8" s="23"/>
      <c r="G8" s="213" t="s">
        <v>100</v>
      </c>
      <c r="H8" s="23"/>
      <c r="I8" s="266" t="s">
        <v>22</v>
      </c>
      <c r="J8" s="267"/>
      <c r="K8" s="267"/>
      <c r="L8" s="267"/>
      <c r="M8" s="267"/>
      <c r="N8" s="24"/>
    </row>
    <row r="9" spans="1:14" ht="15">
      <c r="A9" s="16"/>
      <c r="B9" s="20" t="s">
        <v>3</v>
      </c>
      <c r="C9" s="59">
        <f>'Data Entry'!C8</f>
        <v>700</v>
      </c>
      <c r="D9" s="18"/>
      <c r="E9" s="17"/>
      <c r="F9" s="18"/>
      <c r="G9" s="214"/>
      <c r="H9" s="18"/>
      <c r="I9" s="19"/>
      <c r="J9" s="18"/>
      <c r="K9" s="19"/>
      <c r="L9" s="12"/>
      <c r="M9" s="12"/>
      <c r="N9" s="15"/>
    </row>
    <row r="10" spans="1:14" ht="15">
      <c r="A10" s="16"/>
      <c r="B10" s="20" t="s">
        <v>4</v>
      </c>
      <c r="C10" s="25">
        <f>'Data Entry'!C9</f>
        <v>46</v>
      </c>
      <c r="D10" s="18"/>
      <c r="E10" s="17"/>
      <c r="F10" s="18"/>
      <c r="G10" s="214"/>
      <c r="H10" s="26">
        <f>K10-C14*3</f>
        <v>1</v>
      </c>
      <c r="I10" s="26">
        <f>K10-C14*2</f>
        <v>1.5</v>
      </c>
      <c r="J10" s="26">
        <f>K10-C14</f>
        <v>2</v>
      </c>
      <c r="K10" s="27">
        <f>'Data Entry'!F15</f>
        <v>2.5</v>
      </c>
      <c r="L10" s="26">
        <f>K10+C14</f>
        <v>3</v>
      </c>
      <c r="M10" s="26">
        <f>K10+C14*2</f>
        <v>3.5</v>
      </c>
      <c r="N10" s="28">
        <f>K10+C14*3</f>
        <v>4</v>
      </c>
    </row>
    <row r="11" spans="1:14" ht="15">
      <c r="A11" s="16"/>
      <c r="B11" s="20" t="s">
        <v>5</v>
      </c>
      <c r="C11" s="61">
        <f>(C9/((C10/100)*2200))</f>
        <v>0.691699604743083</v>
      </c>
      <c r="D11" s="18"/>
      <c r="E11" s="17"/>
      <c r="F11" s="18"/>
      <c r="G11" s="29" t="s">
        <v>6</v>
      </c>
      <c r="H11" s="18"/>
      <c r="I11" s="18"/>
      <c r="J11" s="18"/>
      <c r="K11" s="12"/>
      <c r="L11" s="12"/>
      <c r="M11" s="12"/>
      <c r="N11" s="15"/>
    </row>
    <row r="12" spans="1:14" ht="15">
      <c r="A12" s="16"/>
      <c r="B12" s="30" t="s">
        <v>20</v>
      </c>
      <c r="C12" s="31">
        <f>'Data Entry'!C11</f>
        <v>10</v>
      </c>
      <c r="D12" s="18"/>
      <c r="E12" s="32"/>
      <c r="F12" s="29" t="s">
        <v>67</v>
      </c>
      <c r="G12" s="29" t="s">
        <v>7</v>
      </c>
      <c r="H12" s="274" t="s">
        <v>8</v>
      </c>
      <c r="I12" s="274"/>
      <c r="J12" s="274"/>
      <c r="K12" s="274"/>
      <c r="L12" s="274"/>
      <c r="M12" s="274"/>
      <c r="N12" s="275"/>
    </row>
    <row r="13" spans="1:14" ht="15.75" thickBot="1">
      <c r="A13" s="16"/>
      <c r="B13" s="33" t="s">
        <v>106</v>
      </c>
      <c r="C13" s="34"/>
      <c r="D13" s="18"/>
      <c r="E13" s="35" t="s">
        <v>9</v>
      </c>
      <c r="F13" s="36" t="s">
        <v>68</v>
      </c>
      <c r="G13" s="36" t="s">
        <v>10</v>
      </c>
      <c r="H13" s="219" t="s">
        <v>23</v>
      </c>
      <c r="I13" s="219"/>
      <c r="J13" s="219"/>
      <c r="K13" s="219"/>
      <c r="L13" s="219"/>
      <c r="M13" s="219"/>
      <c r="N13" s="212"/>
    </row>
    <row r="14" spans="1:14" ht="15">
      <c r="A14" s="16"/>
      <c r="B14" s="37" t="s">
        <v>108</v>
      </c>
      <c r="C14" s="38">
        <f>'Data Entry'!C13</f>
        <v>0.5</v>
      </c>
      <c r="D14" s="18"/>
      <c r="E14" s="39" t="s">
        <v>11</v>
      </c>
      <c r="F14" s="40" t="s">
        <v>12</v>
      </c>
      <c r="G14" s="40" t="s">
        <v>12</v>
      </c>
      <c r="H14" s="41">
        <f>H10/$C$11</f>
        <v>1.4457142857142857</v>
      </c>
      <c r="I14" s="41">
        <f aca="true" t="shared" si="0" ref="I14:N14">I10/$C$11</f>
        <v>2.1685714285714286</v>
      </c>
      <c r="J14" s="41">
        <f t="shared" si="0"/>
        <v>2.8914285714285715</v>
      </c>
      <c r="K14" s="41">
        <f t="shared" si="0"/>
        <v>3.6142857142857143</v>
      </c>
      <c r="L14" s="41">
        <f t="shared" si="0"/>
        <v>4.337142857142857</v>
      </c>
      <c r="M14" s="41">
        <f t="shared" si="0"/>
        <v>5.06</v>
      </c>
      <c r="N14" s="42">
        <f t="shared" si="0"/>
        <v>5.782857142857143</v>
      </c>
    </row>
    <row r="15" spans="1:14" ht="15">
      <c r="A15" s="16"/>
      <c r="B15" s="43" t="s">
        <v>28</v>
      </c>
      <c r="C15" s="34"/>
      <c r="D15" s="18"/>
      <c r="E15" s="44">
        <f>IF((E19-4*$C$12)&lt;0,0,(E19-4*$C$12))</f>
        <v>50</v>
      </c>
      <c r="F15" s="126">
        <f>G15+(-0.0037*($C$16)^2+1.152*($C$16))+34.75</f>
        <v>103.22999999999999</v>
      </c>
      <c r="G15" s="126">
        <f>IF(((-0.0037*(E15+$C$16)^2+1.152*(E15+$C$16))-(-0.0037*($C$16)^2+1.152*($C$16)))&lt;0,0,((-0.0037*(E15+$C$16)^2+1.152*(E15+$C$16))-(-0.0037*($C$16)^2+1.152*($C$16))))</f>
        <v>37.24999999999999</v>
      </c>
      <c r="H15" s="135">
        <f aca="true" t="shared" si="1" ref="H15:H23">(H$10*$G15)-($C$11*($E15))</f>
        <v>2.6650197628458443</v>
      </c>
      <c r="I15" s="135">
        <f aca="true" t="shared" si="2" ref="I15:N15">(I$10*$G15)-($C$11*($E15))</f>
        <v>21.290019762845837</v>
      </c>
      <c r="J15" s="135">
        <f t="shared" si="2"/>
        <v>39.91501976284584</v>
      </c>
      <c r="K15" s="135">
        <f t="shared" si="2"/>
        <v>58.54001976284584</v>
      </c>
      <c r="L15" s="135">
        <f t="shared" si="2"/>
        <v>77.16501976284582</v>
      </c>
      <c r="M15" s="135">
        <f t="shared" si="2"/>
        <v>95.79001976284582</v>
      </c>
      <c r="N15" s="136">
        <f t="shared" si="2"/>
        <v>114.41501976284582</v>
      </c>
    </row>
    <row r="16" spans="1:14" ht="15">
      <c r="A16" s="16"/>
      <c r="B16" s="37" t="s">
        <v>29</v>
      </c>
      <c r="C16" s="45">
        <f>'Data Entry'!C15</f>
        <v>30</v>
      </c>
      <c r="D16" s="18"/>
      <c r="E16" s="44">
        <f>IF((E20-4*$C$12)&lt;0,0,(E20-4*$C$12))</f>
        <v>60</v>
      </c>
      <c r="F16" s="126">
        <f aca="true" t="shared" si="3" ref="F16:F23">G16+(-0.0037*($C$16)^2+1.152*($C$16))+34.75</f>
        <v>108.46</v>
      </c>
      <c r="G16" s="126">
        <f aca="true" t="shared" si="4" ref="G16:G23">IF(((-0.0037*(E16+$C$16)^2+1.152*(E16+$C$16))-(-0.0037*($C$16)^2+1.152*($C$16)))&lt;0,0,((-0.0037*(E16+$C$16)^2+1.152*(E16+$C$16))-(-0.0037*($C$16)^2+1.152*($C$16))))</f>
        <v>42.48</v>
      </c>
      <c r="H16" s="135">
        <f t="shared" si="1"/>
        <v>0.9780237154150129</v>
      </c>
      <c r="I16" s="135">
        <f aca="true" t="shared" si="5" ref="I16:N23">(I$10*$G16)-($C$11*($E16))</f>
        <v>22.218023715415015</v>
      </c>
      <c r="J16" s="135">
        <f t="shared" si="5"/>
        <v>43.45802371541501</v>
      </c>
      <c r="K16" s="135">
        <f t="shared" si="5"/>
        <v>64.698023715415</v>
      </c>
      <c r="L16" s="135">
        <f t="shared" si="5"/>
        <v>85.93802371541501</v>
      </c>
      <c r="M16" s="135">
        <f t="shared" si="5"/>
        <v>107.178023715415</v>
      </c>
      <c r="N16" s="136">
        <f t="shared" si="5"/>
        <v>128.41802371541502</v>
      </c>
    </row>
    <row r="17" spans="1:14" ht="15">
      <c r="A17" s="16"/>
      <c r="B17" s="43" t="s">
        <v>30</v>
      </c>
      <c r="C17" s="46"/>
      <c r="D17" s="18"/>
      <c r="E17" s="44">
        <f>IF((E21-4*$C$12)&lt;0,0,(E21-4*$C$12))</f>
        <v>70</v>
      </c>
      <c r="F17" s="126">
        <f t="shared" si="3"/>
        <v>112.94999999999999</v>
      </c>
      <c r="G17" s="126">
        <f t="shared" si="4"/>
        <v>46.96999999999999</v>
      </c>
      <c r="H17" s="135">
        <f t="shared" si="1"/>
        <v>-1.4489723320158205</v>
      </c>
      <c r="I17" s="135">
        <f t="shared" si="5"/>
        <v>22.036027667984172</v>
      </c>
      <c r="J17" s="135">
        <f t="shared" si="5"/>
        <v>45.52102766798417</v>
      </c>
      <c r="K17" s="135">
        <f t="shared" si="5"/>
        <v>69.00602766798417</v>
      </c>
      <c r="L17" s="135">
        <f t="shared" si="5"/>
        <v>92.49102766798416</v>
      </c>
      <c r="M17" s="135">
        <f t="shared" si="5"/>
        <v>115.97602766798417</v>
      </c>
      <c r="N17" s="136">
        <f t="shared" si="5"/>
        <v>139.46102766798415</v>
      </c>
    </row>
    <row r="18" spans="1:14" ht="15.75" thickBot="1">
      <c r="A18" s="16"/>
      <c r="B18" s="17"/>
      <c r="C18" s="18"/>
      <c r="D18" s="18"/>
      <c r="E18" s="44">
        <f>IF((E22-4*$C$12)&lt;0,0,(E22-4*$C$12))</f>
        <v>80</v>
      </c>
      <c r="F18" s="126">
        <f t="shared" si="3"/>
        <v>116.69999999999999</v>
      </c>
      <c r="G18" s="126">
        <f t="shared" si="4"/>
        <v>50.71999999999999</v>
      </c>
      <c r="H18" s="135">
        <f t="shared" si="1"/>
        <v>-4.615968379446649</v>
      </c>
      <c r="I18" s="135">
        <f t="shared" si="5"/>
        <v>20.744031620553343</v>
      </c>
      <c r="J18" s="135">
        <f t="shared" si="5"/>
        <v>46.10403162055334</v>
      </c>
      <c r="K18" s="135">
        <f t="shared" si="5"/>
        <v>71.46403162055334</v>
      </c>
      <c r="L18" s="135">
        <f t="shared" si="5"/>
        <v>96.82403162055333</v>
      </c>
      <c r="M18" s="135">
        <f t="shared" si="5"/>
        <v>122.18403162055334</v>
      </c>
      <c r="N18" s="136">
        <f t="shared" si="5"/>
        <v>147.5440316205533</v>
      </c>
    </row>
    <row r="19" spans="1:14" ht="15.75" thickBot="1">
      <c r="A19" s="16"/>
      <c r="B19" s="54"/>
      <c r="C19" s="48"/>
      <c r="D19" s="49" t="s">
        <v>13</v>
      </c>
      <c r="E19" s="50">
        <f>'Data Entry'!F10</f>
        <v>90</v>
      </c>
      <c r="F19" s="192">
        <f t="shared" si="3"/>
        <v>119.70999999999998</v>
      </c>
      <c r="G19" s="126">
        <f t="shared" si="4"/>
        <v>53.72999999999998</v>
      </c>
      <c r="H19" s="135">
        <f t="shared" si="1"/>
        <v>-8.522964426877486</v>
      </c>
      <c r="I19" s="135">
        <f t="shared" si="5"/>
        <v>18.3420355731225</v>
      </c>
      <c r="J19" s="135">
        <f t="shared" si="5"/>
        <v>45.207035573122496</v>
      </c>
      <c r="K19" s="135">
        <f t="shared" si="5"/>
        <v>72.07203557312249</v>
      </c>
      <c r="L19" s="135">
        <f t="shared" si="5"/>
        <v>98.93703557312247</v>
      </c>
      <c r="M19" s="135">
        <f t="shared" si="5"/>
        <v>125.80203557312248</v>
      </c>
      <c r="N19" s="136">
        <f t="shared" si="5"/>
        <v>152.66703557312246</v>
      </c>
    </row>
    <row r="20" spans="1:14" ht="15">
      <c r="A20" s="16"/>
      <c r="B20" s="17"/>
      <c r="C20" s="18"/>
      <c r="D20" s="18"/>
      <c r="E20" s="51">
        <f>E19+C12</f>
        <v>100</v>
      </c>
      <c r="F20" s="126">
        <f t="shared" si="3"/>
        <v>121.97999999999999</v>
      </c>
      <c r="G20" s="126">
        <f t="shared" si="4"/>
        <v>55.99999999999999</v>
      </c>
      <c r="H20" s="135">
        <f t="shared" si="1"/>
        <v>-13.169960474308304</v>
      </c>
      <c r="I20" s="135">
        <f t="shared" si="5"/>
        <v>14.830039525691689</v>
      </c>
      <c r="J20" s="135">
        <f t="shared" si="5"/>
        <v>42.83003952569169</v>
      </c>
      <c r="K20" s="135">
        <f t="shared" si="5"/>
        <v>70.83003952569167</v>
      </c>
      <c r="L20" s="135">
        <f t="shared" si="5"/>
        <v>98.83003952569167</v>
      </c>
      <c r="M20" s="135">
        <f t="shared" si="5"/>
        <v>126.83003952569167</v>
      </c>
      <c r="N20" s="136">
        <f t="shared" si="5"/>
        <v>154.8300395256917</v>
      </c>
    </row>
    <row r="21" spans="1:14" ht="15">
      <c r="A21" s="16"/>
      <c r="B21" s="17"/>
      <c r="C21" s="18"/>
      <c r="D21" s="18"/>
      <c r="E21" s="51">
        <f>E19+2*C12</f>
        <v>110</v>
      </c>
      <c r="F21" s="126">
        <f t="shared" si="3"/>
        <v>123.50999999999999</v>
      </c>
      <c r="G21" s="126">
        <f t="shared" si="4"/>
        <v>57.529999999999994</v>
      </c>
      <c r="H21" s="135">
        <f t="shared" si="1"/>
        <v>-18.55695652173913</v>
      </c>
      <c r="I21" s="135">
        <f t="shared" si="5"/>
        <v>10.208043478260862</v>
      </c>
      <c r="J21" s="135">
        <f t="shared" si="5"/>
        <v>38.97304347826086</v>
      </c>
      <c r="K21" s="135">
        <f t="shared" si="5"/>
        <v>67.73804347826086</v>
      </c>
      <c r="L21" s="135">
        <f t="shared" si="5"/>
        <v>96.50304347826085</v>
      </c>
      <c r="M21" s="135">
        <f t="shared" si="5"/>
        <v>125.26804347826086</v>
      </c>
      <c r="N21" s="136">
        <f t="shared" si="5"/>
        <v>154.03304347826085</v>
      </c>
    </row>
    <row r="22" spans="1:14" ht="15">
      <c r="A22" s="16"/>
      <c r="B22" s="17"/>
      <c r="C22" s="18"/>
      <c r="D22" s="18"/>
      <c r="E22" s="51">
        <f>E19+3*C12</f>
        <v>120</v>
      </c>
      <c r="F22" s="126">
        <f t="shared" si="3"/>
        <v>124.29999999999998</v>
      </c>
      <c r="G22" s="126">
        <f t="shared" si="4"/>
        <v>58.319999999999986</v>
      </c>
      <c r="H22" s="135">
        <f t="shared" si="1"/>
        <v>-24.683952569169982</v>
      </c>
      <c r="I22" s="135">
        <f t="shared" si="5"/>
        <v>4.476047430830008</v>
      </c>
      <c r="J22" s="135">
        <f t="shared" si="5"/>
        <v>33.636047430830004</v>
      </c>
      <c r="K22" s="135">
        <f t="shared" si="5"/>
        <v>62.79604743082999</v>
      </c>
      <c r="L22" s="135">
        <f t="shared" si="5"/>
        <v>91.95604743082998</v>
      </c>
      <c r="M22" s="135">
        <f t="shared" si="5"/>
        <v>121.11604743082998</v>
      </c>
      <c r="N22" s="136">
        <f t="shared" si="5"/>
        <v>150.27604743082998</v>
      </c>
    </row>
    <row r="23" spans="1:14" ht="15">
      <c r="A23" s="16"/>
      <c r="B23" s="17"/>
      <c r="C23" s="18"/>
      <c r="D23" s="18"/>
      <c r="E23" s="51">
        <f>E19+4*C12</f>
        <v>130</v>
      </c>
      <c r="F23" s="126">
        <f t="shared" si="3"/>
        <v>124.35</v>
      </c>
      <c r="G23" s="126">
        <f t="shared" si="4"/>
        <v>58.37</v>
      </c>
      <c r="H23" s="135">
        <f t="shared" si="1"/>
        <v>-31.5509486166008</v>
      </c>
      <c r="I23" s="135">
        <f t="shared" si="5"/>
        <v>-2.3659486166008037</v>
      </c>
      <c r="J23" s="135">
        <f t="shared" si="5"/>
        <v>26.8190513833992</v>
      </c>
      <c r="K23" s="135">
        <f t="shared" si="5"/>
        <v>56.00405138339919</v>
      </c>
      <c r="L23" s="135">
        <f t="shared" si="5"/>
        <v>85.18905138339919</v>
      </c>
      <c r="M23" s="135">
        <f t="shared" si="5"/>
        <v>114.37405138339919</v>
      </c>
      <c r="N23" s="136">
        <f t="shared" si="5"/>
        <v>143.5590513833992</v>
      </c>
    </row>
    <row r="24" spans="1:14" ht="13.5" customHeight="1">
      <c r="A24" s="16"/>
      <c r="B24" s="17"/>
      <c r="C24" s="18"/>
      <c r="D24" s="18"/>
      <c r="E24" s="276" t="s">
        <v>53</v>
      </c>
      <c r="F24" s="277"/>
      <c r="G24" s="277"/>
      <c r="H24" s="277"/>
      <c r="I24" s="277"/>
      <c r="J24" s="277"/>
      <c r="K24" s="277"/>
      <c r="L24" s="277"/>
      <c r="M24" s="277"/>
      <c r="N24" s="278"/>
    </row>
    <row r="25" spans="1:14" ht="9.75" customHeight="1">
      <c r="A25" s="16"/>
      <c r="B25" s="17"/>
      <c r="C25" s="18"/>
      <c r="D25" s="18"/>
      <c r="E25" s="263" t="s">
        <v>16</v>
      </c>
      <c r="F25" s="264"/>
      <c r="G25" s="264"/>
      <c r="H25" s="264"/>
      <c r="I25" s="264"/>
      <c r="J25" s="264"/>
      <c r="K25" s="264"/>
      <c r="L25" s="264"/>
      <c r="M25" s="264"/>
      <c r="N25" s="265"/>
    </row>
    <row r="26" spans="1:14" ht="9.75" customHeight="1">
      <c r="A26" s="16"/>
      <c r="B26" s="17"/>
      <c r="C26" s="18"/>
      <c r="D26" s="18"/>
      <c r="E26" s="263" t="s">
        <v>24</v>
      </c>
      <c r="F26" s="264"/>
      <c r="G26" s="264"/>
      <c r="H26" s="264"/>
      <c r="I26" s="264"/>
      <c r="J26" s="264"/>
      <c r="K26" s="264"/>
      <c r="L26" s="264"/>
      <c r="M26" s="264"/>
      <c r="N26" s="265"/>
    </row>
    <row r="27" spans="1:19" ht="11.25" customHeight="1">
      <c r="A27" s="16"/>
      <c r="B27" s="17"/>
      <c r="C27" s="18"/>
      <c r="D27" s="18"/>
      <c r="E27" s="249" t="s">
        <v>87</v>
      </c>
      <c r="F27" s="250"/>
      <c r="G27" s="250"/>
      <c r="H27" s="250"/>
      <c r="I27" s="250"/>
      <c r="J27" s="250"/>
      <c r="K27" s="251"/>
      <c r="L27" s="251"/>
      <c r="M27" s="251"/>
      <c r="N27" s="252"/>
      <c r="O27"/>
      <c r="P27"/>
      <c r="Q27"/>
      <c r="R27"/>
      <c r="S27"/>
    </row>
    <row r="28" spans="1:14" ht="12" customHeight="1" thickBot="1">
      <c r="A28" s="16"/>
      <c r="B28" s="17"/>
      <c r="C28" s="18"/>
      <c r="D28" s="18"/>
      <c r="E28" s="269" t="s">
        <v>38</v>
      </c>
      <c r="F28" s="270"/>
      <c r="G28" s="271"/>
      <c r="H28" s="271"/>
      <c r="I28" s="271"/>
      <c r="J28" s="271"/>
      <c r="K28" s="272"/>
      <c r="L28" s="272"/>
      <c r="M28" s="272"/>
      <c r="N28" s="273"/>
    </row>
    <row r="29" spans="1:14" ht="11.25" customHeight="1">
      <c r="A29" s="16"/>
      <c r="B29" s="17"/>
      <c r="C29" s="18"/>
      <c r="D29" s="18"/>
      <c r="E29" s="53"/>
      <c r="F29" s="53"/>
      <c r="G29" s="53"/>
      <c r="H29" s="53"/>
      <c r="I29" s="53"/>
      <c r="J29" s="53"/>
      <c r="K29" s="12"/>
      <c r="L29" s="12"/>
      <c r="M29" s="12"/>
      <c r="N29" s="15"/>
    </row>
    <row r="30" spans="2:14" ht="11.25" customHeight="1" thickBot="1">
      <c r="B30" s="215"/>
      <c r="C30" s="216"/>
      <c r="D30" s="216"/>
      <c r="E30" s="216"/>
      <c r="F30" s="216"/>
      <c r="G30" s="216"/>
      <c r="H30" s="216"/>
      <c r="I30" s="216"/>
      <c r="J30" s="216"/>
      <c r="K30" s="55"/>
      <c r="L30" s="55"/>
      <c r="M30" s="55"/>
      <c r="N30" s="56"/>
    </row>
    <row r="31" ht="4.5" customHeight="1" thickBot="1">
      <c r="N31" s="24"/>
    </row>
    <row r="32" spans="1:15" ht="15.75" customHeight="1" thickBot="1">
      <c r="A32" s="16"/>
      <c r="B32" s="234" t="s">
        <v>39</v>
      </c>
      <c r="C32" s="235"/>
      <c r="E32" s="18"/>
      <c r="F32" s="18"/>
      <c r="G32" s="18"/>
      <c r="H32" s="18"/>
      <c r="I32" s="19"/>
      <c r="J32" s="18"/>
      <c r="K32" s="19"/>
      <c r="L32" s="12"/>
      <c r="M32" s="12"/>
      <c r="N32" s="15"/>
      <c r="O32" s="155"/>
    </row>
    <row r="33" spans="1:15" ht="15" customHeight="1">
      <c r="A33" s="16"/>
      <c r="B33" s="87" t="s">
        <v>1</v>
      </c>
      <c r="C33" s="21" t="str">
        <f>'Data Entry'!C7</f>
        <v>UREA</v>
      </c>
      <c r="D33" s="18"/>
      <c r="F33" s="22"/>
      <c r="G33" s="213" t="s">
        <v>102</v>
      </c>
      <c r="H33" s="23"/>
      <c r="I33" s="266" t="s">
        <v>22</v>
      </c>
      <c r="J33" s="267"/>
      <c r="K33" s="267"/>
      <c r="L33" s="267"/>
      <c r="M33" s="267"/>
      <c r="N33" s="24"/>
      <c r="O33" s="155"/>
    </row>
    <row r="34" spans="1:15" ht="15">
      <c r="A34" s="16"/>
      <c r="B34" s="20" t="s">
        <v>3</v>
      </c>
      <c r="C34" s="179">
        <f>'Data Entry'!C8</f>
        <v>700</v>
      </c>
      <c r="D34" s="18"/>
      <c r="F34" s="17"/>
      <c r="G34" s="214"/>
      <c r="H34" s="18"/>
      <c r="I34" s="19"/>
      <c r="J34" s="18"/>
      <c r="K34" s="19"/>
      <c r="L34" s="12"/>
      <c r="M34" s="12"/>
      <c r="N34" s="15"/>
      <c r="O34" s="155"/>
    </row>
    <row r="35" spans="1:15" ht="15">
      <c r="A35" s="16"/>
      <c r="B35" s="20" t="s">
        <v>4</v>
      </c>
      <c r="C35" s="25">
        <f>'Data Entry'!C9</f>
        <v>46</v>
      </c>
      <c r="D35" s="18"/>
      <c r="F35" s="17"/>
      <c r="G35" s="214"/>
      <c r="H35" s="26">
        <f>K35-C39*3</f>
        <v>1</v>
      </c>
      <c r="I35" s="26">
        <f>K35-C39*2</f>
        <v>1.5</v>
      </c>
      <c r="J35" s="26">
        <f>K35-C39</f>
        <v>2</v>
      </c>
      <c r="K35" s="27">
        <f>'Data Entry'!F15</f>
        <v>2.5</v>
      </c>
      <c r="L35" s="26">
        <f>K35+C39</f>
        <v>3</v>
      </c>
      <c r="M35" s="26">
        <f>K35+C39*2</f>
        <v>3.5</v>
      </c>
      <c r="N35" s="28">
        <f>K35+C39*3</f>
        <v>4</v>
      </c>
      <c r="O35" s="155"/>
    </row>
    <row r="36" spans="1:15" ht="15">
      <c r="A36" s="16"/>
      <c r="B36" s="20" t="s">
        <v>5</v>
      </c>
      <c r="C36" s="61">
        <f>(C34/((C35/100)*2200))</f>
        <v>0.691699604743083</v>
      </c>
      <c r="D36" s="18"/>
      <c r="F36" s="17"/>
      <c r="G36" s="29" t="s">
        <v>6</v>
      </c>
      <c r="H36" s="18"/>
      <c r="I36" s="18"/>
      <c r="J36" s="18"/>
      <c r="K36" s="12"/>
      <c r="L36" s="12"/>
      <c r="M36" s="12"/>
      <c r="N36" s="15"/>
      <c r="O36" s="155"/>
    </row>
    <row r="37" spans="1:19" ht="15">
      <c r="A37" s="16"/>
      <c r="B37" s="30" t="s">
        <v>20</v>
      </c>
      <c r="C37" s="31">
        <f>'Data Entry'!C11</f>
        <v>10</v>
      </c>
      <c r="D37" s="18"/>
      <c r="F37" s="32"/>
      <c r="G37" s="70" t="s">
        <v>67</v>
      </c>
      <c r="H37" s="217" t="s">
        <v>112</v>
      </c>
      <c r="I37" s="217"/>
      <c r="J37" s="217"/>
      <c r="K37" s="217"/>
      <c r="L37" s="217"/>
      <c r="M37" s="217"/>
      <c r="N37" s="218"/>
      <c r="O37" s="153"/>
      <c r="P37"/>
      <c r="Q37"/>
      <c r="R37"/>
      <c r="S37"/>
    </row>
    <row r="38" spans="1:19" ht="15.75" thickBot="1">
      <c r="A38" s="16"/>
      <c r="B38" s="33" t="s">
        <v>106</v>
      </c>
      <c r="C38" s="34"/>
      <c r="D38" s="18"/>
      <c r="F38" s="35" t="s">
        <v>9</v>
      </c>
      <c r="G38" s="73" t="s">
        <v>68</v>
      </c>
      <c r="H38" s="219" t="s">
        <v>23</v>
      </c>
      <c r="I38" s="219"/>
      <c r="J38" s="219"/>
      <c r="K38" s="219"/>
      <c r="L38" s="219"/>
      <c r="M38" s="219"/>
      <c r="N38" s="212"/>
      <c r="O38" s="153"/>
      <c r="P38"/>
      <c r="Q38"/>
      <c r="R38"/>
      <c r="S38"/>
    </row>
    <row r="39" spans="1:19" ht="15">
      <c r="A39" s="16"/>
      <c r="B39" s="37" t="s">
        <v>108</v>
      </c>
      <c r="C39" s="57">
        <f>'Data Entry'!C13</f>
        <v>0.5</v>
      </c>
      <c r="D39" s="18"/>
      <c r="F39" s="39" t="s">
        <v>11</v>
      </c>
      <c r="G39" s="75" t="s">
        <v>12</v>
      </c>
      <c r="H39" s="41">
        <f aca="true" t="shared" si="6" ref="H39:N39">H35/$C$11</f>
        <v>1.4457142857142857</v>
      </c>
      <c r="I39" s="41">
        <f t="shared" si="6"/>
        <v>2.1685714285714286</v>
      </c>
      <c r="J39" s="41">
        <f t="shared" si="6"/>
        <v>2.8914285714285715</v>
      </c>
      <c r="K39" s="41">
        <f t="shared" si="6"/>
        <v>3.6142857142857143</v>
      </c>
      <c r="L39" s="41">
        <f t="shared" si="6"/>
        <v>4.337142857142857</v>
      </c>
      <c r="M39" s="41">
        <f t="shared" si="6"/>
        <v>5.06</v>
      </c>
      <c r="N39" s="42">
        <f t="shared" si="6"/>
        <v>5.782857142857143</v>
      </c>
      <c r="O39" s="153"/>
      <c r="P39"/>
      <c r="Q39"/>
      <c r="R39"/>
      <c r="S39"/>
    </row>
    <row r="40" spans="1:19" ht="15">
      <c r="A40" s="16"/>
      <c r="B40" s="43" t="s">
        <v>28</v>
      </c>
      <c r="C40" s="34"/>
      <c r="D40" s="18"/>
      <c r="F40" s="44">
        <f>IF((F44-4*$C$12)&lt;0,0,(F44-4*$C$12))</f>
        <v>50</v>
      </c>
      <c r="G40" s="126">
        <f>G15+(-0.0037*($C$16)^2+1.152*($C$16))+34.75</f>
        <v>103.22999999999999</v>
      </c>
      <c r="H40" s="135">
        <f aca="true" t="shared" si="7" ref="H40:N48">(H$10*$G40)-($C$11*($F40))</f>
        <v>68.64501976284583</v>
      </c>
      <c r="I40" s="135">
        <f t="shared" si="7"/>
        <v>120.26001976284581</v>
      </c>
      <c r="J40" s="135">
        <f t="shared" si="7"/>
        <v>171.87501976284582</v>
      </c>
      <c r="K40" s="135">
        <f t="shared" si="7"/>
        <v>223.49001976284583</v>
      </c>
      <c r="L40" s="135">
        <f t="shared" si="7"/>
        <v>275.1050197628458</v>
      </c>
      <c r="M40" s="135">
        <f t="shared" si="7"/>
        <v>326.7200197628458</v>
      </c>
      <c r="N40" s="136">
        <f t="shared" si="7"/>
        <v>378.33501976284583</v>
      </c>
      <c r="O40" s="153"/>
      <c r="P40"/>
      <c r="Q40"/>
      <c r="R40"/>
      <c r="S40"/>
    </row>
    <row r="41" spans="1:19" ht="15">
      <c r="A41" s="16"/>
      <c r="B41" s="37" t="s">
        <v>29</v>
      </c>
      <c r="C41" s="45">
        <f>'Data Entry'!C15</f>
        <v>30</v>
      </c>
      <c r="D41" s="18"/>
      <c r="F41" s="44">
        <f>IF((F45-4*$C$12)&lt;0,0,(F45-4*$C$12))</f>
        <v>60</v>
      </c>
      <c r="G41" s="126">
        <f aca="true" t="shared" si="8" ref="G41:G48">G16+(-0.0037*($C$16)^2+1.152*($C$16))+34.75</f>
        <v>108.46</v>
      </c>
      <c r="H41" s="135">
        <f t="shared" si="7"/>
        <v>66.95802371541501</v>
      </c>
      <c r="I41" s="135">
        <f t="shared" si="7"/>
        <v>121.18802371541501</v>
      </c>
      <c r="J41" s="135">
        <f t="shared" si="7"/>
        <v>175.41802371541502</v>
      </c>
      <c r="K41" s="135">
        <f t="shared" si="7"/>
        <v>229.64802371541498</v>
      </c>
      <c r="L41" s="135">
        <f t="shared" si="7"/>
        <v>283.878023715415</v>
      </c>
      <c r="M41" s="135">
        <f t="shared" si="7"/>
        <v>338.10802371541496</v>
      </c>
      <c r="N41" s="136">
        <f t="shared" si="7"/>
        <v>392.338023715415</v>
      </c>
      <c r="O41" s="153"/>
      <c r="P41"/>
      <c r="Q41"/>
      <c r="R41"/>
      <c r="S41"/>
    </row>
    <row r="42" spans="1:19" ht="15">
      <c r="A42" s="16"/>
      <c r="B42" s="43" t="s">
        <v>30</v>
      </c>
      <c r="C42" s="46"/>
      <c r="D42" s="18"/>
      <c r="F42" s="44">
        <f>IF((F46-4*$C$12)&lt;0,0,(F46-4*$C$12))</f>
        <v>70</v>
      </c>
      <c r="G42" s="126">
        <f t="shared" si="8"/>
        <v>112.94999999999999</v>
      </c>
      <c r="H42" s="135">
        <f t="shared" si="7"/>
        <v>64.53102766798418</v>
      </c>
      <c r="I42" s="135">
        <f t="shared" si="7"/>
        <v>121.00602766798417</v>
      </c>
      <c r="J42" s="135">
        <f t="shared" si="7"/>
        <v>177.48102766798416</v>
      </c>
      <c r="K42" s="135">
        <f t="shared" si="7"/>
        <v>233.9560276679842</v>
      </c>
      <c r="L42" s="135">
        <f t="shared" si="7"/>
        <v>290.43102766798415</v>
      </c>
      <c r="M42" s="135">
        <f t="shared" si="7"/>
        <v>346.9060276679841</v>
      </c>
      <c r="N42" s="136">
        <f t="shared" si="7"/>
        <v>403.38102766798414</v>
      </c>
      <c r="O42" s="153"/>
      <c r="P42"/>
      <c r="Q42"/>
      <c r="R42"/>
      <c r="S42"/>
    </row>
    <row r="43" spans="1:19" ht="15.75" thickBot="1">
      <c r="A43" s="16"/>
      <c r="B43" s="17"/>
      <c r="C43" s="18"/>
      <c r="D43" s="18"/>
      <c r="F43" s="44">
        <f>IF((F47-4*$C$12)&lt;0,0,(F47-4*$C$12))</f>
        <v>80</v>
      </c>
      <c r="G43" s="126">
        <f t="shared" si="8"/>
        <v>116.69999999999999</v>
      </c>
      <c r="H43" s="135">
        <f t="shared" si="7"/>
        <v>61.36403162055335</v>
      </c>
      <c r="I43" s="135">
        <f t="shared" si="7"/>
        <v>119.71403162055334</v>
      </c>
      <c r="J43" s="135">
        <f t="shared" si="7"/>
        <v>178.06403162055335</v>
      </c>
      <c r="K43" s="135">
        <f t="shared" si="7"/>
        <v>236.41403162055337</v>
      </c>
      <c r="L43" s="135">
        <f t="shared" si="7"/>
        <v>294.76403162055334</v>
      </c>
      <c r="M43" s="135">
        <f t="shared" si="7"/>
        <v>353.1140316205533</v>
      </c>
      <c r="N43" s="136">
        <f t="shared" si="7"/>
        <v>411.4640316205533</v>
      </c>
      <c r="O43" s="153"/>
      <c r="P43"/>
      <c r="Q43"/>
      <c r="R43"/>
      <c r="S43"/>
    </row>
    <row r="44" spans="1:19" ht="15.75" thickBot="1">
      <c r="A44" s="16"/>
      <c r="B44" s="47"/>
      <c r="C44" s="48"/>
      <c r="E44" s="49" t="s">
        <v>13</v>
      </c>
      <c r="F44" s="50">
        <f>E19</f>
        <v>90</v>
      </c>
      <c r="G44" s="126">
        <f t="shared" si="8"/>
        <v>119.70999999999998</v>
      </c>
      <c r="H44" s="135">
        <f t="shared" si="7"/>
        <v>57.45703557312251</v>
      </c>
      <c r="I44" s="135">
        <f t="shared" si="7"/>
        <v>117.3120355731225</v>
      </c>
      <c r="J44" s="135">
        <f t="shared" si="7"/>
        <v>177.1670355731225</v>
      </c>
      <c r="K44" s="135">
        <f t="shared" si="7"/>
        <v>237.0220355731225</v>
      </c>
      <c r="L44" s="135">
        <f t="shared" si="7"/>
        <v>296.8770355731225</v>
      </c>
      <c r="M44" s="135">
        <f t="shared" si="7"/>
        <v>356.7320355731224</v>
      </c>
      <c r="N44" s="136">
        <f t="shared" si="7"/>
        <v>416.5870355731224</v>
      </c>
      <c r="O44" s="153"/>
      <c r="P44"/>
      <c r="Q44"/>
      <c r="R44"/>
      <c r="S44"/>
    </row>
    <row r="45" spans="1:19" ht="15">
      <c r="A45" s="16"/>
      <c r="B45" s="17"/>
      <c r="C45" s="18"/>
      <c r="D45" s="18"/>
      <c r="F45" s="51">
        <f>F44+C37</f>
        <v>100</v>
      </c>
      <c r="G45" s="126">
        <f t="shared" si="8"/>
        <v>121.97999999999999</v>
      </c>
      <c r="H45" s="135">
        <f t="shared" si="7"/>
        <v>52.81003952569169</v>
      </c>
      <c r="I45" s="135">
        <f t="shared" si="7"/>
        <v>113.80003952569167</v>
      </c>
      <c r="J45" s="135">
        <f t="shared" si="7"/>
        <v>174.79003952569167</v>
      </c>
      <c r="K45" s="135">
        <f t="shared" si="7"/>
        <v>235.78003952569168</v>
      </c>
      <c r="L45" s="135">
        <f t="shared" si="7"/>
        <v>296.77003952569163</v>
      </c>
      <c r="M45" s="135">
        <f t="shared" si="7"/>
        <v>357.76003952569164</v>
      </c>
      <c r="N45" s="136">
        <f t="shared" si="7"/>
        <v>418.75003952569165</v>
      </c>
      <c r="O45" s="153"/>
      <c r="P45"/>
      <c r="Q45"/>
      <c r="R45"/>
      <c r="S45"/>
    </row>
    <row r="46" spans="1:19" ht="15">
      <c r="A46" s="16"/>
      <c r="B46" s="17"/>
      <c r="C46" s="52"/>
      <c r="D46" s="18"/>
      <c r="F46" s="51">
        <f>F44+2*C37</f>
        <v>110</v>
      </c>
      <c r="G46" s="126">
        <f t="shared" si="8"/>
        <v>123.50999999999999</v>
      </c>
      <c r="H46" s="135">
        <f t="shared" si="7"/>
        <v>47.423043478260865</v>
      </c>
      <c r="I46" s="135">
        <f t="shared" si="7"/>
        <v>109.17804347826086</v>
      </c>
      <c r="J46" s="135">
        <f t="shared" si="7"/>
        <v>170.93304347826086</v>
      </c>
      <c r="K46" s="135">
        <f t="shared" si="7"/>
        <v>232.68804347826085</v>
      </c>
      <c r="L46" s="135">
        <f t="shared" si="7"/>
        <v>294.44304347826085</v>
      </c>
      <c r="M46" s="135">
        <f t="shared" si="7"/>
        <v>356.19804347826084</v>
      </c>
      <c r="N46" s="136">
        <f t="shared" si="7"/>
        <v>417.95304347826084</v>
      </c>
      <c r="O46" s="153"/>
      <c r="P46"/>
      <c r="Q46"/>
      <c r="R46"/>
      <c r="S46"/>
    </row>
    <row r="47" spans="1:19" ht="15">
      <c r="A47" s="16"/>
      <c r="B47" s="17"/>
      <c r="C47" s="18"/>
      <c r="D47" s="18"/>
      <c r="F47" s="51">
        <f>F44+3*C37</f>
        <v>120</v>
      </c>
      <c r="G47" s="126">
        <f t="shared" si="8"/>
        <v>124.29999999999998</v>
      </c>
      <c r="H47" s="135">
        <f t="shared" si="7"/>
        <v>41.296047430830015</v>
      </c>
      <c r="I47" s="135">
        <f t="shared" si="7"/>
        <v>103.44604743083002</v>
      </c>
      <c r="J47" s="135">
        <f t="shared" si="7"/>
        <v>165.59604743083</v>
      </c>
      <c r="K47" s="135">
        <f t="shared" si="7"/>
        <v>227.74604743082998</v>
      </c>
      <c r="L47" s="135">
        <f t="shared" si="7"/>
        <v>289.89604743083</v>
      </c>
      <c r="M47" s="135">
        <f t="shared" si="7"/>
        <v>352.04604743082996</v>
      </c>
      <c r="N47" s="136">
        <f t="shared" si="7"/>
        <v>414.19604743082994</v>
      </c>
      <c r="O47" s="153"/>
      <c r="P47"/>
      <c r="Q47"/>
      <c r="R47"/>
      <c r="S47"/>
    </row>
    <row r="48" spans="1:19" ht="15">
      <c r="A48" s="16"/>
      <c r="B48" s="17"/>
      <c r="C48" s="18"/>
      <c r="D48" s="18"/>
      <c r="F48" s="51">
        <f>F44+4*C37</f>
        <v>130</v>
      </c>
      <c r="G48" s="126">
        <f t="shared" si="8"/>
        <v>124.35</v>
      </c>
      <c r="H48" s="135">
        <f t="shared" si="7"/>
        <v>34.4290513833992</v>
      </c>
      <c r="I48" s="135">
        <f t="shared" si="7"/>
        <v>96.60405138339918</v>
      </c>
      <c r="J48" s="135">
        <f t="shared" si="7"/>
        <v>158.77905138339918</v>
      </c>
      <c r="K48" s="135">
        <f t="shared" si="7"/>
        <v>220.9540513833992</v>
      </c>
      <c r="L48" s="135">
        <f t="shared" si="7"/>
        <v>283.12905138339914</v>
      </c>
      <c r="M48" s="135">
        <f t="shared" si="7"/>
        <v>345.30405138339916</v>
      </c>
      <c r="N48" s="136">
        <f t="shared" si="7"/>
        <v>407.47905138339917</v>
      </c>
      <c r="O48" s="153"/>
      <c r="P48"/>
      <c r="Q48"/>
      <c r="R48"/>
      <c r="S48"/>
    </row>
    <row r="49" spans="1:19" ht="13.5" customHeight="1">
      <c r="A49" s="16"/>
      <c r="B49" s="17"/>
      <c r="C49" s="18"/>
      <c r="D49" s="18"/>
      <c r="F49" s="180" t="s">
        <v>53</v>
      </c>
      <c r="G49" s="173"/>
      <c r="H49" s="173"/>
      <c r="I49" s="173"/>
      <c r="J49" s="173"/>
      <c r="K49" s="173"/>
      <c r="L49" s="173"/>
      <c r="M49" s="173"/>
      <c r="N49" s="174"/>
      <c r="O49" s="153"/>
      <c r="P49"/>
      <c r="Q49"/>
      <c r="R49"/>
      <c r="S49"/>
    </row>
    <row r="50" spans="1:19" ht="9.75" customHeight="1">
      <c r="A50" s="16"/>
      <c r="B50" s="17"/>
      <c r="C50" s="18"/>
      <c r="D50" s="18"/>
      <c r="F50" s="183" t="s">
        <v>16</v>
      </c>
      <c r="G50" s="175"/>
      <c r="H50" s="175"/>
      <c r="I50" s="175"/>
      <c r="J50" s="175"/>
      <c r="K50" s="175"/>
      <c r="L50" s="175"/>
      <c r="M50" s="175"/>
      <c r="N50" s="176"/>
      <c r="O50" s="153"/>
      <c r="P50"/>
      <c r="Q50"/>
      <c r="R50"/>
      <c r="S50"/>
    </row>
    <row r="51" spans="1:19" ht="9.75" customHeight="1">
      <c r="A51" s="16"/>
      <c r="B51" s="17"/>
      <c r="C51" s="18"/>
      <c r="D51" s="18"/>
      <c r="F51" s="183" t="s">
        <v>101</v>
      </c>
      <c r="G51" s="175"/>
      <c r="H51" s="175"/>
      <c r="I51" s="175"/>
      <c r="J51" s="175"/>
      <c r="K51" s="175"/>
      <c r="L51" s="175"/>
      <c r="M51" s="175"/>
      <c r="N51" s="176"/>
      <c r="O51" s="153"/>
      <c r="P51"/>
      <c r="Q51"/>
      <c r="R51"/>
      <c r="S51"/>
    </row>
    <row r="52" spans="1:19" ht="11.25" customHeight="1">
      <c r="A52" s="16"/>
      <c r="B52" s="17"/>
      <c r="C52" s="18"/>
      <c r="D52" s="18"/>
      <c r="F52" s="79" t="s">
        <v>105</v>
      </c>
      <c r="G52" s="80"/>
      <c r="H52" s="80"/>
      <c r="I52" s="80"/>
      <c r="J52" s="80"/>
      <c r="K52" s="130"/>
      <c r="L52" s="130"/>
      <c r="M52" s="130"/>
      <c r="N52" s="166"/>
      <c r="O52" s="153"/>
      <c r="P52"/>
      <c r="Q52"/>
      <c r="R52"/>
      <c r="S52"/>
    </row>
    <row r="53" spans="1:19" ht="12" customHeight="1" thickBot="1">
      <c r="A53" s="16"/>
      <c r="B53" s="17"/>
      <c r="C53" s="18"/>
      <c r="D53" s="18"/>
      <c r="F53" s="186" t="s">
        <v>38</v>
      </c>
      <c r="G53" s="177"/>
      <c r="H53" s="178"/>
      <c r="I53" s="178"/>
      <c r="J53" s="178"/>
      <c r="K53" s="170"/>
      <c r="L53" s="170"/>
      <c r="M53" s="170"/>
      <c r="N53" s="171"/>
      <c r="O53" s="153"/>
      <c r="P53"/>
      <c r="Q53"/>
      <c r="R53"/>
      <c r="S53"/>
    </row>
    <row r="54" spans="1:19" ht="11.25" customHeight="1">
      <c r="A54" s="16"/>
      <c r="B54" s="17"/>
      <c r="C54" s="18"/>
      <c r="D54" s="18"/>
      <c r="E54" s="53"/>
      <c r="F54" s="53"/>
      <c r="G54" s="53"/>
      <c r="H54" s="53"/>
      <c r="I54" s="53"/>
      <c r="J54" s="53"/>
      <c r="K54" s="12"/>
      <c r="L54" s="12"/>
      <c r="M54" s="12"/>
      <c r="N54" s="15"/>
      <c r="O54" s="153"/>
      <c r="P54"/>
      <c r="Q54"/>
      <c r="R54"/>
      <c r="S54"/>
    </row>
    <row r="55" spans="2:19" ht="11.25" customHeight="1" thickBot="1">
      <c r="B55" s="215"/>
      <c r="C55" s="216"/>
      <c r="D55" s="216"/>
      <c r="E55" s="216"/>
      <c r="F55" s="216"/>
      <c r="G55" s="216"/>
      <c r="H55" s="216"/>
      <c r="I55" s="216"/>
      <c r="J55" s="216"/>
      <c r="K55" s="55"/>
      <c r="L55" s="55"/>
      <c r="M55" s="55"/>
      <c r="N55" s="56"/>
      <c r="O55" s="153"/>
      <c r="P55"/>
      <c r="Q55"/>
      <c r="R55"/>
      <c r="S55"/>
    </row>
    <row r="56" spans="15:19" ht="12.75">
      <c r="O56" s="153"/>
      <c r="P56"/>
      <c r="Q56"/>
      <c r="R56"/>
      <c r="S56"/>
    </row>
  </sheetData>
  <sheetProtection password="CE5A" sheet="1" objects="1" scenarios="1"/>
  <mergeCells count="22">
    <mergeCell ref="B2:N2"/>
    <mergeCell ref="B3:N3"/>
    <mergeCell ref="B7:C7"/>
    <mergeCell ref="H5:K5"/>
    <mergeCell ref="E5:G5"/>
    <mergeCell ref="L5:N5"/>
    <mergeCell ref="B30:J30"/>
    <mergeCell ref="E25:N25"/>
    <mergeCell ref="E26:N26"/>
    <mergeCell ref="I8:M8"/>
    <mergeCell ref="H12:N12"/>
    <mergeCell ref="H13:N13"/>
    <mergeCell ref="H38:N38"/>
    <mergeCell ref="B55:J55"/>
    <mergeCell ref="G8:G10"/>
    <mergeCell ref="B32:C32"/>
    <mergeCell ref="G33:G35"/>
    <mergeCell ref="I33:M33"/>
    <mergeCell ref="H37:N37"/>
    <mergeCell ref="E24:N24"/>
    <mergeCell ref="E27:N27"/>
    <mergeCell ref="E28:N28"/>
  </mergeCells>
  <conditionalFormatting sqref="I15:I23">
    <cfRule type="cellIs" priority="1" dxfId="0" operator="between" stopIfTrue="1">
      <formula>MAX($I$15:$I$23)-0.5</formula>
      <formula>MAX($I$15:$I$23)+0.5</formula>
    </cfRule>
    <cfRule type="cellIs" priority="2" dxfId="1" operator="between" stopIfTrue="1">
      <formula>MAX($I$15:$I$23)-0.5</formula>
      <formula>MAX($I$15:$I$23)-1.5</formula>
    </cfRule>
    <cfRule type="cellIs" priority="3" dxfId="1" operator="between" stopIfTrue="1">
      <formula>MAX($I$15:$I$23)+0.5</formula>
      <formula>MAX($I$15:$I$23)+1.5</formula>
    </cfRule>
  </conditionalFormatting>
  <conditionalFormatting sqref="J15:J23">
    <cfRule type="cellIs" priority="4" dxfId="0" operator="between" stopIfTrue="1">
      <formula>MAX($J$15:$J$23)-0.5</formula>
      <formula>MAX($J$15:$J$23)+0.5</formula>
    </cfRule>
    <cfRule type="cellIs" priority="5" dxfId="1" operator="between" stopIfTrue="1">
      <formula>MAX($J$15:$J$23)-0.5</formula>
      <formula>MAX($J$15:$J$23)-1.5</formula>
    </cfRule>
    <cfRule type="cellIs" priority="6" dxfId="1" operator="between" stopIfTrue="1">
      <formula>MAX($J$15:$J$23)+0.5</formula>
      <formula>MAX($J$15:$J$23)+1.5</formula>
    </cfRule>
  </conditionalFormatting>
  <conditionalFormatting sqref="K15:K23">
    <cfRule type="cellIs" priority="7" dxfId="0" operator="between" stopIfTrue="1">
      <formula>MAX($K$15:$K$23)-0.5</formula>
      <formula>MAX($K$15:$K$23)+0.5</formula>
    </cfRule>
    <cfRule type="cellIs" priority="8" dxfId="1" operator="between" stopIfTrue="1">
      <formula>MAX($K$15:$K$23)-0.5</formula>
      <formula>MAX($K$15:$K$23)-1.5</formula>
    </cfRule>
    <cfRule type="cellIs" priority="9" dxfId="1" operator="between" stopIfTrue="1">
      <formula>MAX($K$15:$K$23)+0.5</formula>
      <formula>MAX($K$15:$K$23)+1.5</formula>
    </cfRule>
  </conditionalFormatting>
  <conditionalFormatting sqref="L15:L23">
    <cfRule type="cellIs" priority="10" dxfId="0" operator="between" stopIfTrue="1">
      <formula>MAX($L$15:$L$23)-0.5</formula>
      <formula>MAX($L$15:$L$23)+0.5</formula>
    </cfRule>
    <cfRule type="cellIs" priority="11" dxfId="1" operator="between" stopIfTrue="1">
      <formula>MAX($L$15:$L$23)-0.5</formula>
      <formula>MAX($L$15:$L$23)-1.5</formula>
    </cfRule>
    <cfRule type="cellIs" priority="12" dxfId="1" operator="between" stopIfTrue="1">
      <formula>MAX($L$15:$L$23+0.5)</formula>
      <formula>MAX($L$15:$L$23)+1.5</formula>
    </cfRule>
  </conditionalFormatting>
  <conditionalFormatting sqref="M15:M23">
    <cfRule type="cellIs" priority="13" dxfId="0" operator="between" stopIfTrue="1">
      <formula>MAX($M$15:$M$23)-0.5</formula>
      <formula>":$M$23)+0.5"</formula>
    </cfRule>
    <cfRule type="cellIs" priority="14" dxfId="1" operator="between" stopIfTrue="1">
      <formula>MAX($M$15:$M$23)-0.5</formula>
      <formula>MAX($M$15:$M$23)-1.5</formula>
    </cfRule>
    <cfRule type="cellIs" priority="15" dxfId="1" operator="between" stopIfTrue="1">
      <formula>MAX($M$15:$M$23)+0.5</formula>
      <formula>MAX($M$15:$M$23)+1.5</formula>
    </cfRule>
  </conditionalFormatting>
  <conditionalFormatting sqref="N15:N23">
    <cfRule type="cellIs" priority="16" dxfId="0" operator="between" stopIfTrue="1">
      <formula>MAX($N$15:$N$23)-0.5</formula>
      <formula>MAX($N$15:$N$23)+0.5</formula>
    </cfRule>
    <cfRule type="cellIs" priority="17" dxfId="1" operator="between" stopIfTrue="1">
      <formula>MAX($N$15:$N$23)-0.5</formula>
      <formula>MAX($N$15:$N$23)-1.5</formula>
    </cfRule>
    <cfRule type="cellIs" priority="18" dxfId="1" operator="between" stopIfTrue="1">
      <formula>MAX($N$15:$N$23)+0.5</formula>
      <formula>MAX($N$15:$N$23)+1.5</formula>
    </cfRule>
  </conditionalFormatting>
  <conditionalFormatting sqref="H15:H23">
    <cfRule type="cellIs" priority="19" dxfId="0" operator="between" stopIfTrue="1">
      <formula>MAX($H$15:$H$23)-0.5</formula>
      <formula>MAX($H$15:$H$23)+0.5</formula>
    </cfRule>
    <cfRule type="cellIs" priority="20" dxfId="1" operator="between" stopIfTrue="1">
      <formula>MAX($H$15:$H$23)-1.5</formula>
      <formula>MAX($H$15:$H$23)-0.5</formula>
    </cfRule>
    <cfRule type="cellIs" priority="21" dxfId="1" operator="between" stopIfTrue="1">
      <formula>MAX($H$15:$H$23)+0.5</formula>
      <formula>MAX($H$15:$H$23)+1.5</formula>
    </cfRule>
  </conditionalFormatting>
  <conditionalFormatting sqref="H40:H48">
    <cfRule type="cellIs" priority="22" dxfId="0" operator="between" stopIfTrue="1">
      <formula>MAX($H$40:$H$48)-0.5</formula>
      <formula>MAX($H$40:$H$48)+0.5</formula>
    </cfRule>
    <cfRule type="cellIs" priority="23" dxfId="1" operator="between" stopIfTrue="1">
      <formula>MAX($H$40:$H$48)-0.5</formula>
      <formula>MAX($H$40:$H$48)-1.5</formula>
    </cfRule>
    <cfRule type="cellIs" priority="24" dxfId="1" operator="between" stopIfTrue="1">
      <formula>MAX($H$40:$H$48+0.5)</formula>
      <formula>MAX($H$40:$H$48)+1.5</formula>
    </cfRule>
  </conditionalFormatting>
  <conditionalFormatting sqref="I40:I48">
    <cfRule type="cellIs" priority="25" dxfId="0" operator="between" stopIfTrue="1">
      <formula>MAX($I$40:$I$55)-0.5</formula>
      <formula>MAX($I$40:$I$55)+0.5</formula>
    </cfRule>
    <cfRule type="cellIs" priority="26" dxfId="1" operator="between" stopIfTrue="1">
      <formula>MAX($I$40:$I$55)-0.5</formula>
      <formula>MAX($I$40:$I$55)-1.5</formula>
    </cfRule>
    <cfRule type="cellIs" priority="27" dxfId="1" operator="between" stopIfTrue="1">
      <formula>MAX($I$40:$I$55)+0.5</formula>
      <formula>MAX($I$40:$I$55)+1.5</formula>
    </cfRule>
  </conditionalFormatting>
  <conditionalFormatting sqref="J40:J48">
    <cfRule type="cellIs" priority="28" dxfId="0" operator="between" stopIfTrue="1">
      <formula>MAX($J$40:$J$55)-0.5</formula>
      <formula>MAX($J$40:$J$55)+0.5</formula>
    </cfRule>
    <cfRule type="cellIs" priority="29" dxfId="1" operator="between" stopIfTrue="1">
      <formula>MAX($J$40:$J$55)-0.5</formula>
      <formula>MAX($J$40:$J$55)-1.5</formula>
    </cfRule>
    <cfRule type="cellIs" priority="30" dxfId="1" operator="between" stopIfTrue="1">
      <formula>MAX($J$40:$J$55)+0.5</formula>
      <formula>MAX($J$40:$J$55)+1.5</formula>
    </cfRule>
  </conditionalFormatting>
  <conditionalFormatting sqref="K40:K48">
    <cfRule type="cellIs" priority="31" dxfId="0" operator="between" stopIfTrue="1">
      <formula>MAX($K$40:$K$55)-0.5</formula>
      <formula>MAX($K$40:$K$55)+0.5</formula>
    </cfRule>
    <cfRule type="cellIs" priority="32" dxfId="1" operator="between" stopIfTrue="1">
      <formula>MAX($K$40:$K$55)-0.5</formula>
      <formula>MAX($K$40:$K$55)-1.5</formula>
    </cfRule>
    <cfRule type="cellIs" priority="33" dxfId="1" operator="between" stopIfTrue="1">
      <formula>MAX($K$40:$K$55)+0.5</formula>
      <formula>MAX($K$40:$K$55)+1.5</formula>
    </cfRule>
  </conditionalFormatting>
  <conditionalFormatting sqref="L40:L48">
    <cfRule type="cellIs" priority="34" dxfId="0" operator="between" stopIfTrue="1">
      <formula>MAX($L$40:$L$55)-0.5</formula>
      <formula>MAX($L$40:$L$55)+0.5</formula>
    </cfRule>
    <cfRule type="cellIs" priority="35" dxfId="1" operator="between" stopIfTrue="1">
      <formula>MAX($L$40:$L$55)-0.5</formula>
      <formula>MAX($L$40:$L$55)-1.5</formula>
    </cfRule>
    <cfRule type="cellIs" priority="36" dxfId="1" operator="between" stopIfTrue="1">
      <formula>MAX($L$40:$L$55)+0.5</formula>
      <formula>MAX($L$40:$L$55)+1.5</formula>
    </cfRule>
  </conditionalFormatting>
  <conditionalFormatting sqref="M40:M48">
    <cfRule type="cellIs" priority="37" dxfId="0" operator="between" stopIfTrue="1">
      <formula>MAX($M$40:$M$55)-0.5</formula>
      <formula>MAX($M$40:$M$55)+0.5</formula>
    </cfRule>
    <cfRule type="cellIs" priority="38" dxfId="1" operator="between" stopIfTrue="1">
      <formula>MAX($M$40:$M$55)-0.5</formula>
      <formula>MAX($M$40:$M$55)-1.5</formula>
    </cfRule>
    <cfRule type="cellIs" priority="39" dxfId="1" operator="between" stopIfTrue="1">
      <formula>MAX($M$40:$M$55)+0.5</formula>
      <formula>MAX($M$40:$M$55)+1.5</formula>
    </cfRule>
  </conditionalFormatting>
  <conditionalFormatting sqref="N40:N48">
    <cfRule type="cellIs" priority="40" dxfId="0" operator="between" stopIfTrue="1">
      <formula>MAX($N$40:$N$55)-0.5</formula>
      <formula>MAX($N$40:$N$55)+0.5</formula>
    </cfRule>
    <cfRule type="cellIs" priority="41" dxfId="1" operator="between" stopIfTrue="1">
      <formula>MAX($N$40:$N$55)-0.5</formula>
      <formula>MAX($N$40:$N$55)-1.5</formula>
    </cfRule>
    <cfRule type="cellIs" priority="42" dxfId="1" operator="between" stopIfTrue="1">
      <formula>MAX($N$40:$N$55)+0.5</formula>
      <formula>MAX($N$40:$N$55)+1.5</formula>
    </cfRule>
  </conditionalFormatting>
  <hyperlinks>
    <hyperlink ref="E5" location="'Barley (Moist) MR'!A1" display="Go to Marginal Revenue Chart"/>
    <hyperlink ref="H5" location="'Barley (Moist) Fertilizer'!A1" display="Go to Fertilizer Price as a Variable"/>
    <hyperlink ref="L5" location="'Data Entry'!A1" display="Return to Data Entry"/>
    <hyperlink ref="G33" location="'Wheat crop price'!D47" display="Go to Total Net Return"/>
    <hyperlink ref="G33:G35" location="'Barley (Moist) Crop'!D1" display="Return to Net Return"/>
    <hyperlink ref="G8" location="'Wheat crop price'!D47" display="Go to Total Net Return"/>
    <hyperlink ref="G8:G10" location="'Barley (Moist) Crop'!D53" display="Go to Total Net Return Below"/>
  </hyperlink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6"/>
  <sheetViews>
    <sheetView showGridLines="0" workbookViewId="0" topLeftCell="A1">
      <selection activeCell="D1" sqref="D1"/>
    </sheetView>
  </sheetViews>
  <sheetFormatPr defaultColWidth="9.140625" defaultRowHeight="12.75"/>
  <cols>
    <col min="1" max="1" width="1.57421875" style="10" customWidth="1"/>
    <col min="2" max="2" width="17.28125" style="10" customWidth="1"/>
    <col min="3" max="6" width="9.140625" style="10" customWidth="1"/>
    <col min="7" max="7" width="13.57421875" style="10" customWidth="1"/>
    <col min="8" max="14" width="9.140625" style="10" customWidth="1"/>
    <col min="15" max="15" width="12.421875" style="10" customWidth="1"/>
    <col min="16" max="16384" width="9.140625" style="10" customWidth="1"/>
  </cols>
  <sheetData>
    <row r="1" spans="2:10" ht="6" customHeight="1" thickBot="1">
      <c r="B1" s="11"/>
      <c r="C1" s="11"/>
      <c r="D1" s="11"/>
      <c r="E1" s="11"/>
      <c r="F1" s="11"/>
      <c r="G1" s="11"/>
      <c r="H1" s="11"/>
      <c r="I1" s="11"/>
      <c r="J1" s="11"/>
    </row>
    <row r="2" spans="1:14" ht="20.25">
      <c r="A2" s="11"/>
      <c r="B2" s="254" t="s">
        <v>40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6"/>
    </row>
    <row r="3" spans="1:14" ht="20.25">
      <c r="A3" s="11"/>
      <c r="B3" s="257" t="s">
        <v>48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9"/>
    </row>
    <row r="4" spans="1:15" ht="6.75" customHeight="1">
      <c r="A4" s="11"/>
      <c r="B4" s="13"/>
      <c r="C4" s="14"/>
      <c r="D4" s="14"/>
      <c r="E4" s="14"/>
      <c r="F4" s="14"/>
      <c r="G4" s="14"/>
      <c r="H4" s="14"/>
      <c r="I4" s="14"/>
      <c r="J4" s="14"/>
      <c r="K4" s="12"/>
      <c r="L4" s="12"/>
      <c r="M4" s="12"/>
      <c r="N4" s="15"/>
      <c r="O4" s="161"/>
    </row>
    <row r="5" spans="2:14" ht="12.75">
      <c r="B5" s="198"/>
      <c r="C5" s="199"/>
      <c r="D5" s="199"/>
      <c r="E5" s="279" t="s">
        <v>110</v>
      </c>
      <c r="F5" s="280"/>
      <c r="G5" s="280"/>
      <c r="H5" s="279" t="s">
        <v>70</v>
      </c>
      <c r="I5" s="280"/>
      <c r="J5" s="280"/>
      <c r="K5" s="280"/>
      <c r="L5" s="261" t="s">
        <v>96</v>
      </c>
      <c r="M5" s="280"/>
      <c r="N5" s="282"/>
    </row>
    <row r="6" spans="1:15" ht="4.5" customHeight="1" thickBot="1">
      <c r="A6" s="16"/>
      <c r="B6" s="17"/>
      <c r="C6" s="18"/>
      <c r="D6" s="18"/>
      <c r="E6" s="18"/>
      <c r="F6" s="18"/>
      <c r="G6" s="18"/>
      <c r="H6" s="18"/>
      <c r="I6" s="18"/>
      <c r="J6" s="18"/>
      <c r="K6" s="12"/>
      <c r="L6" s="12"/>
      <c r="M6" s="12"/>
      <c r="N6" s="15"/>
      <c r="O6" s="158"/>
    </row>
    <row r="7" spans="1:15" ht="15.75" customHeight="1" thickBot="1">
      <c r="A7" s="16"/>
      <c r="B7" s="234" t="s">
        <v>39</v>
      </c>
      <c r="C7" s="235"/>
      <c r="D7" s="18"/>
      <c r="E7" s="18"/>
      <c r="F7" s="18"/>
      <c r="G7" s="18"/>
      <c r="H7" s="18"/>
      <c r="I7" s="19"/>
      <c r="J7" s="18"/>
      <c r="K7" s="19"/>
      <c r="L7" s="12"/>
      <c r="M7" s="12"/>
      <c r="N7" s="15"/>
      <c r="O7" s="158"/>
    </row>
    <row r="8" spans="1:14" ht="15" customHeight="1">
      <c r="A8" s="16"/>
      <c r="B8" s="87" t="s">
        <v>1</v>
      </c>
      <c r="C8" s="21" t="str">
        <f>'Data Entry'!C7</f>
        <v>UREA</v>
      </c>
      <c r="D8" s="18"/>
      <c r="E8" s="22"/>
      <c r="F8" s="23"/>
      <c r="G8" s="213" t="s">
        <v>100</v>
      </c>
      <c r="H8" s="23"/>
      <c r="I8" s="266" t="s">
        <v>22</v>
      </c>
      <c r="J8" s="267"/>
      <c r="K8" s="267"/>
      <c r="L8" s="267"/>
      <c r="M8" s="267"/>
      <c r="N8" s="24"/>
    </row>
    <row r="9" spans="1:14" ht="15">
      <c r="A9" s="16"/>
      <c r="B9" s="20" t="s">
        <v>3</v>
      </c>
      <c r="C9" s="59">
        <f>'Data Entry'!C8</f>
        <v>700</v>
      </c>
      <c r="D9" s="18"/>
      <c r="E9" s="17"/>
      <c r="F9" s="18"/>
      <c r="G9" s="214"/>
      <c r="H9" s="18"/>
      <c r="I9" s="19"/>
      <c r="J9" s="18"/>
      <c r="K9" s="19"/>
      <c r="L9" s="12"/>
      <c r="M9" s="12"/>
      <c r="N9" s="15"/>
    </row>
    <row r="10" spans="1:14" ht="15">
      <c r="A10" s="16"/>
      <c r="B10" s="20" t="s">
        <v>4</v>
      </c>
      <c r="C10" s="25">
        <f>'Data Entry'!C9</f>
        <v>46</v>
      </c>
      <c r="D10" s="18"/>
      <c r="E10" s="17"/>
      <c r="F10" s="18"/>
      <c r="G10" s="214"/>
      <c r="H10" s="26">
        <f>K10-C14*3</f>
        <v>1</v>
      </c>
      <c r="I10" s="26">
        <f>K10-C14*2</f>
        <v>1.5</v>
      </c>
      <c r="J10" s="26">
        <f>K10-C14</f>
        <v>2</v>
      </c>
      <c r="K10" s="27">
        <f>'Data Entry'!F15</f>
        <v>2.5</v>
      </c>
      <c r="L10" s="26">
        <f>K10+C14</f>
        <v>3</v>
      </c>
      <c r="M10" s="26">
        <f>K10+C14*2</f>
        <v>3.5</v>
      </c>
      <c r="N10" s="28">
        <f>K10+C14*3</f>
        <v>4</v>
      </c>
    </row>
    <row r="11" spans="1:14" ht="15">
      <c r="A11" s="16"/>
      <c r="B11" s="20" t="s">
        <v>5</v>
      </c>
      <c r="C11" s="61">
        <f>(C9/((C10/100)*2200))</f>
        <v>0.691699604743083</v>
      </c>
      <c r="D11" s="18"/>
      <c r="E11" s="17"/>
      <c r="F11" s="18"/>
      <c r="G11" s="29" t="s">
        <v>6</v>
      </c>
      <c r="H11" s="18"/>
      <c r="I11" s="18"/>
      <c r="J11" s="18"/>
      <c r="K11" s="12"/>
      <c r="L11" s="12"/>
      <c r="M11" s="12"/>
      <c r="N11" s="15"/>
    </row>
    <row r="12" spans="1:14" ht="15">
      <c r="A12" s="16"/>
      <c r="B12" s="30" t="s">
        <v>20</v>
      </c>
      <c r="C12" s="31">
        <f>'Data Entry'!C11</f>
        <v>10</v>
      </c>
      <c r="D12" s="18"/>
      <c r="E12" s="32"/>
      <c r="F12" s="29" t="s">
        <v>67</v>
      </c>
      <c r="G12" s="29" t="s">
        <v>7</v>
      </c>
      <c r="H12" s="274" t="s">
        <v>8</v>
      </c>
      <c r="I12" s="274"/>
      <c r="J12" s="274"/>
      <c r="K12" s="274"/>
      <c r="L12" s="274"/>
      <c r="M12" s="274"/>
      <c r="N12" s="275"/>
    </row>
    <row r="13" spans="1:14" ht="15.75" thickBot="1">
      <c r="A13" s="16"/>
      <c r="B13" s="33" t="s">
        <v>106</v>
      </c>
      <c r="C13" s="34"/>
      <c r="D13" s="18"/>
      <c r="E13" s="35" t="s">
        <v>9</v>
      </c>
      <c r="F13" s="36" t="s">
        <v>68</v>
      </c>
      <c r="G13" s="36" t="s">
        <v>10</v>
      </c>
      <c r="H13" s="219" t="s">
        <v>23</v>
      </c>
      <c r="I13" s="219"/>
      <c r="J13" s="219"/>
      <c r="K13" s="219"/>
      <c r="L13" s="219"/>
      <c r="M13" s="219"/>
      <c r="N13" s="212"/>
    </row>
    <row r="14" spans="1:14" ht="15">
      <c r="A14" s="16"/>
      <c r="B14" s="37" t="s">
        <v>108</v>
      </c>
      <c r="C14" s="38">
        <f>'Data Entry'!C13</f>
        <v>0.5</v>
      </c>
      <c r="D14" s="18"/>
      <c r="E14" s="39" t="s">
        <v>11</v>
      </c>
      <c r="F14" s="40" t="s">
        <v>12</v>
      </c>
      <c r="G14" s="40" t="s">
        <v>12</v>
      </c>
      <c r="H14" s="41">
        <f aca="true" t="shared" si="0" ref="H14:N14">H10/$C$11</f>
        <v>1.4457142857142857</v>
      </c>
      <c r="I14" s="41">
        <f t="shared" si="0"/>
        <v>2.1685714285714286</v>
      </c>
      <c r="J14" s="41">
        <f t="shared" si="0"/>
        <v>2.8914285714285715</v>
      </c>
      <c r="K14" s="41">
        <f t="shared" si="0"/>
        <v>3.6142857142857143</v>
      </c>
      <c r="L14" s="41">
        <f t="shared" si="0"/>
        <v>4.337142857142857</v>
      </c>
      <c r="M14" s="41">
        <f t="shared" si="0"/>
        <v>5.06</v>
      </c>
      <c r="N14" s="42">
        <f t="shared" si="0"/>
        <v>5.782857142857143</v>
      </c>
    </row>
    <row r="15" spans="1:14" ht="15">
      <c r="A15" s="16"/>
      <c r="B15" s="43" t="s">
        <v>28</v>
      </c>
      <c r="C15" s="34"/>
      <c r="D15" s="18"/>
      <c r="E15" s="44">
        <f>IF((E19-4*$C$12)&lt;0,0,(E19-4*$C$12))</f>
        <v>10</v>
      </c>
      <c r="F15" s="126">
        <f>G15+(-0.0082*($C$16)^2+1.5595*($C$16))+31.73</f>
        <v>80.99000000000001</v>
      </c>
      <c r="G15" s="126">
        <f>IF(((-0.0082*(E15+$C$16)^2+1.5595*(E15+$C$16))-(-0.0082*($C$16)^2+1.5595*($C$16)))&lt;0,0,(-0.0082*(E15+$C$16)^2+1.5595*(E15+$C$16))-(-0.0082*($C$16)^2+1.5595*($C$16)))</f>
        <v>9.855000000000004</v>
      </c>
      <c r="H15" s="135">
        <f aca="true" t="shared" si="1" ref="H15:N23">(H$10*$G15)-($C$11*($E15))</f>
        <v>2.938003952569174</v>
      </c>
      <c r="I15" s="135">
        <f t="shared" si="1"/>
        <v>7.865503952569176</v>
      </c>
      <c r="J15" s="135">
        <f t="shared" si="1"/>
        <v>12.793003952569178</v>
      </c>
      <c r="K15" s="135">
        <f t="shared" si="1"/>
        <v>17.72050395256918</v>
      </c>
      <c r="L15" s="135">
        <f t="shared" si="1"/>
        <v>22.648003952569184</v>
      </c>
      <c r="M15" s="135">
        <f t="shared" si="1"/>
        <v>27.575503952569186</v>
      </c>
      <c r="N15" s="136">
        <f t="shared" si="1"/>
        <v>32.50300395256919</v>
      </c>
    </row>
    <row r="16" spans="1:14" ht="15">
      <c r="A16" s="16"/>
      <c r="B16" s="37" t="s">
        <v>29</v>
      </c>
      <c r="C16" s="45">
        <f>'Data Entry'!C15</f>
        <v>30</v>
      </c>
      <c r="D16" s="18"/>
      <c r="E16" s="44">
        <f>IF((E20-4*$C$12)&lt;0,0,(E20-4*$C$12))</f>
        <v>20</v>
      </c>
      <c r="F16" s="126">
        <f aca="true" t="shared" si="2" ref="F16:F23">G16+(-0.0082*($C$16)^2+1.5595*($C$16))+31.73</f>
        <v>89.20500000000001</v>
      </c>
      <c r="G16" s="126">
        <f aca="true" t="shared" si="3" ref="G16:G23">IF(((-0.0082*(E16+$C$16)^2+1.5595*(E16+$C$16))-(-0.0082*($C$16)^2+1.5595*($C$16)))&lt;0,0,(-0.0082*(E16+$C$16)^2+1.5595*(E16+$C$16))-(-0.0082*($C$16)^2+1.5595*($C$16)))</f>
        <v>18.070000000000007</v>
      </c>
      <c r="H16" s="135">
        <f t="shared" si="1"/>
        <v>4.236007905138347</v>
      </c>
      <c r="I16" s="135">
        <f t="shared" si="1"/>
        <v>13.271007905138351</v>
      </c>
      <c r="J16" s="135">
        <f t="shared" si="1"/>
        <v>22.306007905138355</v>
      </c>
      <c r="K16" s="135">
        <f t="shared" si="1"/>
        <v>31.34100790513836</v>
      </c>
      <c r="L16" s="135">
        <f t="shared" si="1"/>
        <v>40.376007905138366</v>
      </c>
      <c r="M16" s="135">
        <f t="shared" si="1"/>
        <v>49.41100790513836</v>
      </c>
      <c r="N16" s="136">
        <f t="shared" si="1"/>
        <v>58.44600790513837</v>
      </c>
    </row>
    <row r="17" spans="1:14" ht="15">
      <c r="A17" s="16"/>
      <c r="B17" s="43" t="s">
        <v>30</v>
      </c>
      <c r="C17" s="46"/>
      <c r="D17" s="18"/>
      <c r="E17" s="44">
        <f>IF((E21-4*$C$12)&lt;0,0,(E21-4*$C$12))</f>
        <v>30</v>
      </c>
      <c r="F17" s="126">
        <f t="shared" si="2"/>
        <v>95.78000000000002</v>
      </c>
      <c r="G17" s="126">
        <f t="shared" si="3"/>
        <v>24.64500000000001</v>
      </c>
      <c r="H17" s="135">
        <f t="shared" si="1"/>
        <v>3.8940118577075182</v>
      </c>
      <c r="I17" s="135">
        <f t="shared" si="1"/>
        <v>16.216511857707523</v>
      </c>
      <c r="J17" s="135">
        <f t="shared" si="1"/>
        <v>28.53901185770753</v>
      </c>
      <c r="K17" s="135">
        <f t="shared" si="1"/>
        <v>40.861511857707534</v>
      </c>
      <c r="L17" s="135">
        <f t="shared" si="1"/>
        <v>53.18401185770754</v>
      </c>
      <c r="M17" s="135">
        <f t="shared" si="1"/>
        <v>65.50651185770755</v>
      </c>
      <c r="N17" s="136">
        <f t="shared" si="1"/>
        <v>77.82901185770754</v>
      </c>
    </row>
    <row r="18" spans="1:14" ht="15.75" thickBot="1">
      <c r="A18" s="16"/>
      <c r="B18" s="17"/>
      <c r="C18" s="18"/>
      <c r="D18" s="18"/>
      <c r="E18" s="44">
        <f>IF((E22-4*$C$12)&lt;0,0,(E22-4*$C$12))</f>
        <v>40</v>
      </c>
      <c r="F18" s="126">
        <f t="shared" si="2"/>
        <v>100.715</v>
      </c>
      <c r="G18" s="126">
        <f t="shared" si="3"/>
        <v>29.58</v>
      </c>
      <c r="H18" s="135">
        <f t="shared" si="1"/>
        <v>1.912015810276678</v>
      </c>
      <c r="I18" s="135">
        <f t="shared" si="1"/>
        <v>16.702015810276677</v>
      </c>
      <c r="J18" s="135">
        <f t="shared" si="1"/>
        <v>31.492015810276676</v>
      </c>
      <c r="K18" s="135">
        <f t="shared" si="1"/>
        <v>46.28201581027667</v>
      </c>
      <c r="L18" s="135">
        <f t="shared" si="1"/>
        <v>61.072015810276675</v>
      </c>
      <c r="M18" s="135">
        <f t="shared" si="1"/>
        <v>75.86201581027669</v>
      </c>
      <c r="N18" s="136">
        <f t="shared" si="1"/>
        <v>90.65201581027668</v>
      </c>
    </row>
    <row r="19" spans="1:14" ht="15.75" thickBot="1">
      <c r="A19" s="16"/>
      <c r="B19" s="54"/>
      <c r="C19" s="48"/>
      <c r="D19" s="49" t="s">
        <v>13</v>
      </c>
      <c r="E19" s="50">
        <f>'Data Entry'!G10</f>
        <v>50</v>
      </c>
      <c r="F19" s="126">
        <f t="shared" si="2"/>
        <v>104.01</v>
      </c>
      <c r="G19" s="126">
        <f t="shared" si="3"/>
        <v>32.875</v>
      </c>
      <c r="H19" s="135">
        <f t="shared" si="1"/>
        <v>-1.7099802371541486</v>
      </c>
      <c r="I19" s="135">
        <f t="shared" si="1"/>
        <v>14.727519762845851</v>
      </c>
      <c r="J19" s="135">
        <f t="shared" si="1"/>
        <v>31.16501976284585</v>
      </c>
      <c r="K19" s="135">
        <f t="shared" si="1"/>
        <v>47.60251976284585</v>
      </c>
      <c r="L19" s="135">
        <f t="shared" si="1"/>
        <v>64.04001976284584</v>
      </c>
      <c r="M19" s="135">
        <f t="shared" si="1"/>
        <v>80.47751976284584</v>
      </c>
      <c r="N19" s="136">
        <f t="shared" si="1"/>
        <v>96.91501976284584</v>
      </c>
    </row>
    <row r="20" spans="1:14" ht="15">
      <c r="A20" s="16"/>
      <c r="B20" s="17"/>
      <c r="C20" s="18"/>
      <c r="D20" s="18"/>
      <c r="E20" s="51">
        <f>E19+C12</f>
        <v>60</v>
      </c>
      <c r="F20" s="126">
        <f t="shared" si="2"/>
        <v>105.66500000000002</v>
      </c>
      <c r="G20" s="126">
        <f t="shared" si="3"/>
        <v>34.530000000000015</v>
      </c>
      <c r="H20" s="135">
        <f t="shared" si="1"/>
        <v>-6.971976284584969</v>
      </c>
      <c r="I20" s="135">
        <f t="shared" si="1"/>
        <v>10.293023715415039</v>
      </c>
      <c r="J20" s="135">
        <f t="shared" si="1"/>
        <v>27.558023715415047</v>
      </c>
      <c r="K20" s="135">
        <f t="shared" si="1"/>
        <v>44.82302371541506</v>
      </c>
      <c r="L20" s="135">
        <f t="shared" si="1"/>
        <v>62.08802371541506</v>
      </c>
      <c r="M20" s="135">
        <f t="shared" si="1"/>
        <v>79.35302371541506</v>
      </c>
      <c r="N20" s="136">
        <f t="shared" si="1"/>
        <v>96.61802371541508</v>
      </c>
    </row>
    <row r="21" spans="1:14" ht="15">
      <c r="A21" s="16"/>
      <c r="B21" s="17"/>
      <c r="C21" s="18"/>
      <c r="D21" s="18"/>
      <c r="E21" s="51">
        <f>E19+2*C12</f>
        <v>70</v>
      </c>
      <c r="F21" s="126">
        <f t="shared" si="2"/>
        <v>105.68000000000002</v>
      </c>
      <c r="G21" s="126">
        <f t="shared" si="3"/>
        <v>34.545000000000016</v>
      </c>
      <c r="H21" s="135">
        <f t="shared" si="1"/>
        <v>-13.873972332015796</v>
      </c>
      <c r="I21" s="135">
        <f t="shared" si="1"/>
        <v>3.3985276679842116</v>
      </c>
      <c r="J21" s="135">
        <f t="shared" si="1"/>
        <v>20.67102766798422</v>
      </c>
      <c r="K21" s="135">
        <f t="shared" si="1"/>
        <v>37.94352766798423</v>
      </c>
      <c r="L21" s="135">
        <f t="shared" si="1"/>
        <v>55.216027667984235</v>
      </c>
      <c r="M21" s="135">
        <f t="shared" si="1"/>
        <v>72.48852766798424</v>
      </c>
      <c r="N21" s="136">
        <f t="shared" si="1"/>
        <v>89.76102766798425</v>
      </c>
    </row>
    <row r="22" spans="1:14" ht="15">
      <c r="A22" s="16"/>
      <c r="B22" s="17"/>
      <c r="C22" s="18"/>
      <c r="D22" s="18"/>
      <c r="E22" s="51">
        <f>E19+3*C12</f>
        <v>80</v>
      </c>
      <c r="F22" s="126">
        <f t="shared" si="2"/>
        <v>104.055</v>
      </c>
      <c r="G22" s="126">
        <f t="shared" si="3"/>
        <v>32.92</v>
      </c>
      <c r="H22" s="135">
        <f t="shared" si="1"/>
        <v>-22.41596837944664</v>
      </c>
      <c r="I22" s="135">
        <f t="shared" si="1"/>
        <v>-5.955968379446638</v>
      </c>
      <c r="J22" s="135">
        <f t="shared" si="1"/>
        <v>10.504031620553363</v>
      </c>
      <c r="K22" s="135">
        <f t="shared" si="1"/>
        <v>26.96403162055337</v>
      </c>
      <c r="L22" s="135">
        <f t="shared" si="1"/>
        <v>43.424031620553365</v>
      </c>
      <c r="M22" s="135">
        <f t="shared" si="1"/>
        <v>59.88403162055336</v>
      </c>
      <c r="N22" s="136">
        <f t="shared" si="1"/>
        <v>76.34403162055337</v>
      </c>
    </row>
    <row r="23" spans="1:14" ht="15">
      <c r="A23" s="16"/>
      <c r="B23" s="17"/>
      <c r="C23" s="18"/>
      <c r="D23" s="18"/>
      <c r="E23" s="51">
        <f>E19+4*C12</f>
        <v>90</v>
      </c>
      <c r="F23" s="126">
        <f t="shared" si="2"/>
        <v>100.79</v>
      </c>
      <c r="G23" s="126">
        <f t="shared" si="3"/>
        <v>29.655</v>
      </c>
      <c r="H23" s="135">
        <f t="shared" si="1"/>
        <v>-32.59796442687747</v>
      </c>
      <c r="I23" s="135">
        <f t="shared" si="1"/>
        <v>-17.770464426877467</v>
      </c>
      <c r="J23" s="135">
        <f t="shared" si="1"/>
        <v>-2.9429644268774666</v>
      </c>
      <c r="K23" s="135">
        <f t="shared" si="1"/>
        <v>11.884535573122534</v>
      </c>
      <c r="L23" s="135">
        <f t="shared" si="1"/>
        <v>26.712035573122535</v>
      </c>
      <c r="M23" s="135">
        <f t="shared" si="1"/>
        <v>41.539535573122535</v>
      </c>
      <c r="N23" s="136">
        <f t="shared" si="1"/>
        <v>56.367035573122536</v>
      </c>
    </row>
    <row r="24" spans="1:14" ht="13.5" customHeight="1">
      <c r="A24" s="16"/>
      <c r="B24" s="17"/>
      <c r="C24" s="18"/>
      <c r="D24" s="18"/>
      <c r="E24" s="276" t="s">
        <v>54</v>
      </c>
      <c r="F24" s="277"/>
      <c r="G24" s="277"/>
      <c r="H24" s="277"/>
      <c r="I24" s="277"/>
      <c r="J24" s="277"/>
      <c r="K24" s="277"/>
      <c r="L24" s="277"/>
      <c r="M24" s="277"/>
      <c r="N24" s="278"/>
    </row>
    <row r="25" spans="1:14" ht="9.75" customHeight="1">
      <c r="A25" s="16"/>
      <c r="B25" s="17"/>
      <c r="C25" s="18"/>
      <c r="D25" s="18"/>
      <c r="E25" s="263" t="s">
        <v>16</v>
      </c>
      <c r="F25" s="264"/>
      <c r="G25" s="264"/>
      <c r="H25" s="264"/>
      <c r="I25" s="264"/>
      <c r="J25" s="264"/>
      <c r="K25" s="264"/>
      <c r="L25" s="264"/>
      <c r="M25" s="264"/>
      <c r="N25" s="265"/>
    </row>
    <row r="26" spans="1:14" ht="9.75" customHeight="1">
      <c r="A26" s="16"/>
      <c r="B26" s="17"/>
      <c r="C26" s="18"/>
      <c r="D26" s="18"/>
      <c r="E26" s="263" t="s">
        <v>24</v>
      </c>
      <c r="F26" s="264"/>
      <c r="G26" s="264"/>
      <c r="H26" s="264"/>
      <c r="I26" s="264"/>
      <c r="J26" s="264"/>
      <c r="K26" s="264"/>
      <c r="L26" s="264"/>
      <c r="M26" s="264"/>
      <c r="N26" s="265"/>
    </row>
    <row r="27" spans="1:19" ht="11.25" customHeight="1">
      <c r="A27" s="16"/>
      <c r="B27" s="17"/>
      <c r="C27" s="18"/>
      <c r="D27" s="18"/>
      <c r="E27" s="249" t="s">
        <v>87</v>
      </c>
      <c r="F27" s="250"/>
      <c r="G27" s="250"/>
      <c r="H27" s="250"/>
      <c r="I27" s="250"/>
      <c r="J27" s="250"/>
      <c r="K27" s="251"/>
      <c r="L27" s="251"/>
      <c r="M27" s="251"/>
      <c r="N27" s="252"/>
      <c r="O27"/>
      <c r="P27"/>
      <c r="Q27"/>
      <c r="R27"/>
      <c r="S27"/>
    </row>
    <row r="28" spans="1:14" ht="12" customHeight="1" thickBot="1">
      <c r="A28" s="16"/>
      <c r="B28" s="17"/>
      <c r="C28" s="18"/>
      <c r="D28" s="18"/>
      <c r="E28" s="269" t="s">
        <v>38</v>
      </c>
      <c r="F28" s="270"/>
      <c r="G28" s="271"/>
      <c r="H28" s="271"/>
      <c r="I28" s="271"/>
      <c r="J28" s="271"/>
      <c r="K28" s="272"/>
      <c r="L28" s="272"/>
      <c r="M28" s="272"/>
      <c r="N28" s="273"/>
    </row>
    <row r="29" spans="1:14" ht="11.25" customHeight="1">
      <c r="A29" s="16"/>
      <c r="B29" s="17"/>
      <c r="C29" s="18"/>
      <c r="D29" s="18"/>
      <c r="E29" s="53"/>
      <c r="F29" s="53"/>
      <c r="G29" s="53"/>
      <c r="H29" s="53"/>
      <c r="I29" s="53"/>
      <c r="J29" s="53"/>
      <c r="K29" s="12"/>
      <c r="L29" s="12"/>
      <c r="M29" s="12"/>
      <c r="N29" s="15"/>
    </row>
    <row r="30" spans="2:14" ht="11.25" customHeight="1" thickBot="1">
      <c r="B30" s="215"/>
      <c r="C30" s="216"/>
      <c r="D30" s="216"/>
      <c r="E30" s="216"/>
      <c r="F30" s="216"/>
      <c r="G30" s="216"/>
      <c r="H30" s="216"/>
      <c r="I30" s="216"/>
      <c r="J30" s="216"/>
      <c r="K30" s="55"/>
      <c r="L30" s="55"/>
      <c r="M30" s="55"/>
      <c r="N30" s="56"/>
    </row>
    <row r="31" ht="5.25" customHeight="1" thickBot="1">
      <c r="N31" s="24"/>
    </row>
    <row r="32" spans="1:15" ht="15.75" customHeight="1" thickBot="1">
      <c r="A32" s="16"/>
      <c r="B32" s="234" t="s">
        <v>39</v>
      </c>
      <c r="C32" s="235"/>
      <c r="E32" s="18"/>
      <c r="F32" s="18"/>
      <c r="G32" s="18"/>
      <c r="H32" s="18"/>
      <c r="I32" s="19"/>
      <c r="J32" s="18"/>
      <c r="K32" s="19"/>
      <c r="L32" s="12"/>
      <c r="M32" s="12"/>
      <c r="N32" s="15"/>
      <c r="O32" s="155"/>
    </row>
    <row r="33" spans="1:15" ht="15" customHeight="1">
      <c r="A33" s="16"/>
      <c r="B33" s="87" t="s">
        <v>1</v>
      </c>
      <c r="C33" s="21" t="str">
        <f>'Data Entry'!C7</f>
        <v>UREA</v>
      </c>
      <c r="D33" s="18"/>
      <c r="F33" s="22"/>
      <c r="G33" s="213" t="s">
        <v>102</v>
      </c>
      <c r="H33" s="23"/>
      <c r="I33" s="266" t="s">
        <v>22</v>
      </c>
      <c r="J33" s="267"/>
      <c r="K33" s="267"/>
      <c r="L33" s="267"/>
      <c r="M33" s="267"/>
      <c r="N33" s="24"/>
      <c r="O33" s="155"/>
    </row>
    <row r="34" spans="1:15" ht="15">
      <c r="A34" s="16"/>
      <c r="B34" s="20" t="s">
        <v>3</v>
      </c>
      <c r="C34" s="179">
        <f>'Data Entry'!C8</f>
        <v>700</v>
      </c>
      <c r="D34" s="18"/>
      <c r="F34" s="17"/>
      <c r="G34" s="214"/>
      <c r="H34" s="18"/>
      <c r="I34" s="19"/>
      <c r="J34" s="18"/>
      <c r="K34" s="19"/>
      <c r="L34" s="12"/>
      <c r="M34" s="12"/>
      <c r="N34" s="15"/>
      <c r="O34" s="155"/>
    </row>
    <row r="35" spans="1:15" ht="15">
      <c r="A35" s="16"/>
      <c r="B35" s="20" t="s">
        <v>4</v>
      </c>
      <c r="C35" s="25">
        <f>'Data Entry'!C9</f>
        <v>46</v>
      </c>
      <c r="D35" s="18"/>
      <c r="F35" s="17"/>
      <c r="G35" s="214"/>
      <c r="H35" s="26">
        <f>K35-C39*3</f>
        <v>1</v>
      </c>
      <c r="I35" s="26">
        <f>K35-C39*2</f>
        <v>1.5</v>
      </c>
      <c r="J35" s="26">
        <f>K35-C39</f>
        <v>2</v>
      </c>
      <c r="K35" s="27">
        <f>'Data Entry'!F15</f>
        <v>2.5</v>
      </c>
      <c r="L35" s="26">
        <f>K35+C39</f>
        <v>3</v>
      </c>
      <c r="M35" s="26">
        <f>K35+C39*2</f>
        <v>3.5</v>
      </c>
      <c r="N35" s="28">
        <f>K35+C39*3</f>
        <v>4</v>
      </c>
      <c r="O35" s="155"/>
    </row>
    <row r="36" spans="1:15" ht="15">
      <c r="A36" s="16"/>
      <c r="B36" s="20" t="s">
        <v>5</v>
      </c>
      <c r="C36" s="61">
        <f>(C34/((C35/100)*2200))</f>
        <v>0.691699604743083</v>
      </c>
      <c r="D36" s="18"/>
      <c r="F36" s="17"/>
      <c r="G36" s="29" t="s">
        <v>6</v>
      </c>
      <c r="H36" s="18"/>
      <c r="I36" s="18"/>
      <c r="J36" s="18"/>
      <c r="K36" s="12"/>
      <c r="L36" s="12"/>
      <c r="M36" s="12"/>
      <c r="N36" s="15"/>
      <c r="O36" s="155"/>
    </row>
    <row r="37" spans="1:19" ht="15">
      <c r="A37" s="16"/>
      <c r="B37" s="30" t="s">
        <v>20</v>
      </c>
      <c r="C37" s="31">
        <f>'Data Entry'!C11</f>
        <v>10</v>
      </c>
      <c r="D37" s="18"/>
      <c r="F37" s="32"/>
      <c r="G37" s="70" t="s">
        <v>67</v>
      </c>
      <c r="H37" s="217" t="s">
        <v>112</v>
      </c>
      <c r="I37" s="217"/>
      <c r="J37" s="217"/>
      <c r="K37" s="217"/>
      <c r="L37" s="217"/>
      <c r="M37" s="217"/>
      <c r="N37" s="218"/>
      <c r="O37" s="153"/>
      <c r="P37"/>
      <c r="Q37"/>
      <c r="R37"/>
      <c r="S37"/>
    </row>
    <row r="38" spans="1:19" ht="15.75" thickBot="1">
      <c r="A38" s="16"/>
      <c r="B38" s="33" t="s">
        <v>106</v>
      </c>
      <c r="C38" s="34"/>
      <c r="D38" s="18"/>
      <c r="F38" s="35" t="s">
        <v>9</v>
      </c>
      <c r="G38" s="73" t="s">
        <v>68</v>
      </c>
      <c r="H38" s="219" t="s">
        <v>23</v>
      </c>
      <c r="I38" s="219"/>
      <c r="J38" s="219"/>
      <c r="K38" s="219"/>
      <c r="L38" s="219"/>
      <c r="M38" s="219"/>
      <c r="N38" s="212"/>
      <c r="O38" s="153"/>
      <c r="P38"/>
      <c r="Q38"/>
      <c r="R38"/>
      <c r="S38"/>
    </row>
    <row r="39" spans="1:19" ht="15">
      <c r="A39" s="16"/>
      <c r="B39" s="37" t="s">
        <v>108</v>
      </c>
      <c r="C39" s="57">
        <f>'Data Entry'!C13</f>
        <v>0.5</v>
      </c>
      <c r="D39" s="18"/>
      <c r="F39" s="39" t="s">
        <v>11</v>
      </c>
      <c r="G39" s="75" t="s">
        <v>12</v>
      </c>
      <c r="H39" s="41">
        <f aca="true" t="shared" si="4" ref="H39:N39">H35/$C$11</f>
        <v>1.4457142857142857</v>
      </c>
      <c r="I39" s="41">
        <f t="shared" si="4"/>
        <v>2.1685714285714286</v>
      </c>
      <c r="J39" s="41">
        <f t="shared" si="4"/>
        <v>2.8914285714285715</v>
      </c>
      <c r="K39" s="41">
        <f t="shared" si="4"/>
        <v>3.6142857142857143</v>
      </c>
      <c r="L39" s="41">
        <f t="shared" si="4"/>
        <v>4.337142857142857</v>
      </c>
      <c r="M39" s="41">
        <f t="shared" si="4"/>
        <v>5.06</v>
      </c>
      <c r="N39" s="42">
        <f t="shared" si="4"/>
        <v>5.782857142857143</v>
      </c>
      <c r="O39" s="153"/>
      <c r="P39"/>
      <c r="Q39"/>
      <c r="R39"/>
      <c r="S39"/>
    </row>
    <row r="40" spans="1:19" ht="15">
      <c r="A40" s="16"/>
      <c r="B40" s="43" t="s">
        <v>28</v>
      </c>
      <c r="C40" s="34"/>
      <c r="D40" s="18"/>
      <c r="F40" s="44">
        <f>IF((F44-4*$C$12)&lt;0,0,(F44-4*$C$12))</f>
        <v>10</v>
      </c>
      <c r="G40" s="126">
        <f>G15+(-0.0082*($C$16)^2+1.5595*($C$16))+31.73</f>
        <v>80.99000000000001</v>
      </c>
      <c r="H40" s="135">
        <f aca="true" t="shared" si="5" ref="H40:N48">(H$10*$G40)-($C$11*($F40))</f>
        <v>74.07300395256918</v>
      </c>
      <c r="I40" s="135">
        <f t="shared" si="5"/>
        <v>114.56800395256919</v>
      </c>
      <c r="J40" s="135">
        <f t="shared" si="5"/>
        <v>155.06300395256918</v>
      </c>
      <c r="K40" s="135">
        <f t="shared" si="5"/>
        <v>195.55800395256918</v>
      </c>
      <c r="L40" s="135">
        <f t="shared" si="5"/>
        <v>236.05300395256918</v>
      </c>
      <c r="M40" s="135">
        <f t="shared" si="5"/>
        <v>276.5480039525692</v>
      </c>
      <c r="N40" s="136">
        <f t="shared" si="5"/>
        <v>317.0430039525692</v>
      </c>
      <c r="O40" s="153"/>
      <c r="P40"/>
      <c r="Q40"/>
      <c r="R40"/>
      <c r="S40"/>
    </row>
    <row r="41" spans="1:19" ht="15">
      <c r="A41" s="16"/>
      <c r="B41" s="37" t="s">
        <v>29</v>
      </c>
      <c r="C41" s="45">
        <f>'Data Entry'!C15</f>
        <v>30</v>
      </c>
      <c r="D41" s="18"/>
      <c r="F41" s="44">
        <f>IF((F45-4*$C$12)&lt;0,0,(F45-4*$C$12))</f>
        <v>20</v>
      </c>
      <c r="G41" s="126">
        <f aca="true" t="shared" si="6" ref="G41:G48">G16+(-0.0082*($C$16)^2+1.5595*($C$16))+31.73</f>
        <v>89.20500000000001</v>
      </c>
      <c r="H41" s="135">
        <f t="shared" si="5"/>
        <v>75.37100790513836</v>
      </c>
      <c r="I41" s="135">
        <f t="shared" si="5"/>
        <v>119.97350790513835</v>
      </c>
      <c r="J41" s="135">
        <f t="shared" si="5"/>
        <v>164.57600790513837</v>
      </c>
      <c r="K41" s="135">
        <f t="shared" si="5"/>
        <v>209.1785079051384</v>
      </c>
      <c r="L41" s="135">
        <f t="shared" si="5"/>
        <v>253.78100790513835</v>
      </c>
      <c r="M41" s="135">
        <f t="shared" si="5"/>
        <v>298.38350790513834</v>
      </c>
      <c r="N41" s="136">
        <f t="shared" si="5"/>
        <v>342.98600790513837</v>
      </c>
      <c r="O41" s="153"/>
      <c r="P41"/>
      <c r="Q41"/>
      <c r="R41"/>
      <c r="S41"/>
    </row>
    <row r="42" spans="1:19" ht="15">
      <c r="A42" s="16"/>
      <c r="B42" s="43" t="s">
        <v>30</v>
      </c>
      <c r="C42" s="46"/>
      <c r="D42" s="18"/>
      <c r="F42" s="44">
        <f>IF((F46-4*$C$12)&lt;0,0,(F46-4*$C$12))</f>
        <v>30</v>
      </c>
      <c r="G42" s="126">
        <f t="shared" si="6"/>
        <v>95.78000000000002</v>
      </c>
      <c r="H42" s="135">
        <f t="shared" si="5"/>
        <v>75.02901185770753</v>
      </c>
      <c r="I42" s="135">
        <f t="shared" si="5"/>
        <v>122.91901185770752</v>
      </c>
      <c r="J42" s="135">
        <f t="shared" si="5"/>
        <v>170.80901185770753</v>
      </c>
      <c r="K42" s="135">
        <f t="shared" si="5"/>
        <v>218.69901185770755</v>
      </c>
      <c r="L42" s="135">
        <f t="shared" si="5"/>
        <v>266.58901185770753</v>
      </c>
      <c r="M42" s="135">
        <f t="shared" si="5"/>
        <v>314.4790118577076</v>
      </c>
      <c r="N42" s="136">
        <f t="shared" si="5"/>
        <v>362.36901185770756</v>
      </c>
      <c r="O42" s="153"/>
      <c r="P42"/>
      <c r="Q42"/>
      <c r="R42"/>
      <c r="S42"/>
    </row>
    <row r="43" spans="1:19" ht="15.75" thickBot="1">
      <c r="A43" s="16"/>
      <c r="B43" s="17"/>
      <c r="C43" s="18"/>
      <c r="D43" s="18"/>
      <c r="F43" s="44">
        <f>IF((F47-4*$C$12)&lt;0,0,(F47-4*$C$12))</f>
        <v>40</v>
      </c>
      <c r="G43" s="126">
        <f t="shared" si="6"/>
        <v>100.715</v>
      </c>
      <c r="H43" s="135">
        <f t="shared" si="5"/>
        <v>73.04701581027669</v>
      </c>
      <c r="I43" s="135">
        <f t="shared" si="5"/>
        <v>123.40451581027668</v>
      </c>
      <c r="J43" s="135">
        <f t="shared" si="5"/>
        <v>173.7620158102767</v>
      </c>
      <c r="K43" s="135">
        <f t="shared" si="5"/>
        <v>224.1195158102767</v>
      </c>
      <c r="L43" s="135">
        <f t="shared" si="5"/>
        <v>274.47701581027667</v>
      </c>
      <c r="M43" s="135">
        <f t="shared" si="5"/>
        <v>324.8345158102767</v>
      </c>
      <c r="N43" s="136">
        <f t="shared" si="5"/>
        <v>375.1920158102767</v>
      </c>
      <c r="O43" s="153"/>
      <c r="P43"/>
      <c r="Q43"/>
      <c r="R43"/>
      <c r="S43"/>
    </row>
    <row r="44" spans="1:19" ht="15.75" thickBot="1">
      <c r="A44" s="16"/>
      <c r="B44" s="47"/>
      <c r="C44" s="48"/>
      <c r="E44" s="49" t="s">
        <v>13</v>
      </c>
      <c r="F44" s="50">
        <f>E19</f>
        <v>50</v>
      </c>
      <c r="G44" s="126">
        <f t="shared" si="6"/>
        <v>104.01</v>
      </c>
      <c r="H44" s="135">
        <f t="shared" si="5"/>
        <v>69.42501976284586</v>
      </c>
      <c r="I44" s="135">
        <f t="shared" si="5"/>
        <v>121.43001976284586</v>
      </c>
      <c r="J44" s="135">
        <f t="shared" si="5"/>
        <v>173.43501976284585</v>
      </c>
      <c r="K44" s="135">
        <f t="shared" si="5"/>
        <v>225.44001976284588</v>
      </c>
      <c r="L44" s="135">
        <f t="shared" si="5"/>
        <v>277.4450197628459</v>
      </c>
      <c r="M44" s="135">
        <f t="shared" si="5"/>
        <v>329.4500197628459</v>
      </c>
      <c r="N44" s="136">
        <f t="shared" si="5"/>
        <v>381.4550197628459</v>
      </c>
      <c r="O44" s="153"/>
      <c r="P44"/>
      <c r="Q44"/>
      <c r="R44"/>
      <c r="S44"/>
    </row>
    <row r="45" spans="1:19" ht="15">
      <c r="A45" s="16"/>
      <c r="B45" s="17"/>
      <c r="C45" s="18"/>
      <c r="D45" s="18"/>
      <c r="F45" s="51">
        <f>F44+C37</f>
        <v>60</v>
      </c>
      <c r="G45" s="126">
        <f t="shared" si="6"/>
        <v>105.66500000000002</v>
      </c>
      <c r="H45" s="135">
        <f t="shared" si="5"/>
        <v>64.16302371541504</v>
      </c>
      <c r="I45" s="135">
        <f t="shared" si="5"/>
        <v>116.99552371541505</v>
      </c>
      <c r="J45" s="135">
        <f t="shared" si="5"/>
        <v>169.82802371541504</v>
      </c>
      <c r="K45" s="135">
        <f t="shared" si="5"/>
        <v>222.66052371541502</v>
      </c>
      <c r="L45" s="135">
        <f t="shared" si="5"/>
        <v>275.49302371541506</v>
      </c>
      <c r="M45" s="135">
        <f t="shared" si="5"/>
        <v>328.3255237154151</v>
      </c>
      <c r="N45" s="136">
        <f t="shared" si="5"/>
        <v>381.1580237154151</v>
      </c>
      <c r="O45" s="153"/>
      <c r="P45"/>
      <c r="Q45"/>
      <c r="R45"/>
      <c r="S45"/>
    </row>
    <row r="46" spans="1:19" ht="15">
      <c r="A46" s="16"/>
      <c r="B46" s="17"/>
      <c r="C46" s="52"/>
      <c r="D46" s="18"/>
      <c r="F46" s="51">
        <f>F44+2*C37</f>
        <v>70</v>
      </c>
      <c r="G46" s="126">
        <f t="shared" si="6"/>
        <v>105.68000000000002</v>
      </c>
      <c r="H46" s="135">
        <f t="shared" si="5"/>
        <v>57.26102766798421</v>
      </c>
      <c r="I46" s="135">
        <f t="shared" si="5"/>
        <v>110.10102766798423</v>
      </c>
      <c r="J46" s="135">
        <f t="shared" si="5"/>
        <v>162.94102766798423</v>
      </c>
      <c r="K46" s="135">
        <f t="shared" si="5"/>
        <v>215.78102766798423</v>
      </c>
      <c r="L46" s="135">
        <f t="shared" si="5"/>
        <v>268.62102766798427</v>
      </c>
      <c r="M46" s="135">
        <f t="shared" si="5"/>
        <v>321.46102766798424</v>
      </c>
      <c r="N46" s="136">
        <f t="shared" si="5"/>
        <v>374.3010276679843</v>
      </c>
      <c r="O46" s="153"/>
      <c r="P46"/>
      <c r="Q46"/>
      <c r="R46"/>
      <c r="S46"/>
    </row>
    <row r="47" spans="1:19" ht="15">
      <c r="A47" s="16"/>
      <c r="B47" s="17"/>
      <c r="C47" s="18"/>
      <c r="D47" s="18"/>
      <c r="F47" s="51">
        <f>F44+3*C37</f>
        <v>80</v>
      </c>
      <c r="G47" s="126">
        <f t="shared" si="6"/>
        <v>104.055</v>
      </c>
      <c r="H47" s="135">
        <f t="shared" si="5"/>
        <v>48.719031620553366</v>
      </c>
      <c r="I47" s="135">
        <f t="shared" si="5"/>
        <v>100.74653162055337</v>
      </c>
      <c r="J47" s="135">
        <f t="shared" si="5"/>
        <v>152.7740316205534</v>
      </c>
      <c r="K47" s="135">
        <f t="shared" si="5"/>
        <v>204.80153162055342</v>
      </c>
      <c r="L47" s="135">
        <f t="shared" si="5"/>
        <v>256.8290316205534</v>
      </c>
      <c r="M47" s="135">
        <f t="shared" si="5"/>
        <v>308.85653162055337</v>
      </c>
      <c r="N47" s="136">
        <f t="shared" si="5"/>
        <v>360.8840316205534</v>
      </c>
      <c r="O47" s="153"/>
      <c r="P47"/>
      <c r="Q47"/>
      <c r="R47"/>
      <c r="S47"/>
    </row>
    <row r="48" spans="1:19" ht="15">
      <c r="A48" s="16"/>
      <c r="B48" s="17"/>
      <c r="C48" s="18"/>
      <c r="D48" s="18"/>
      <c r="F48" s="51">
        <f>F44+4*C37</f>
        <v>90</v>
      </c>
      <c r="G48" s="126">
        <f t="shared" si="6"/>
        <v>100.79</v>
      </c>
      <c r="H48" s="135">
        <f t="shared" si="5"/>
        <v>38.53703557312254</v>
      </c>
      <c r="I48" s="135">
        <f t="shared" si="5"/>
        <v>88.93203557312253</v>
      </c>
      <c r="J48" s="135">
        <f t="shared" si="5"/>
        <v>139.32703557312254</v>
      </c>
      <c r="K48" s="135">
        <f t="shared" si="5"/>
        <v>189.72203557312255</v>
      </c>
      <c r="L48" s="135">
        <f t="shared" si="5"/>
        <v>240.11703557312254</v>
      </c>
      <c r="M48" s="135">
        <f t="shared" si="5"/>
        <v>290.5120355731226</v>
      </c>
      <c r="N48" s="136">
        <f t="shared" si="5"/>
        <v>340.9070355731226</v>
      </c>
      <c r="O48" s="153"/>
      <c r="P48"/>
      <c r="Q48"/>
      <c r="R48"/>
      <c r="S48"/>
    </row>
    <row r="49" spans="1:19" ht="13.5" customHeight="1">
      <c r="A49" s="16"/>
      <c r="B49" s="17"/>
      <c r="C49" s="18"/>
      <c r="D49" s="18"/>
      <c r="F49" s="180" t="s">
        <v>54</v>
      </c>
      <c r="G49" s="173"/>
      <c r="H49" s="173"/>
      <c r="I49" s="173"/>
      <c r="J49" s="173"/>
      <c r="K49" s="173"/>
      <c r="L49" s="173"/>
      <c r="M49" s="173"/>
      <c r="N49" s="174"/>
      <c r="O49" s="153"/>
      <c r="P49"/>
      <c r="Q49"/>
      <c r="R49"/>
      <c r="S49"/>
    </row>
    <row r="50" spans="1:19" ht="9.75" customHeight="1">
      <c r="A50" s="16"/>
      <c r="B50" s="17"/>
      <c r="C50" s="18"/>
      <c r="D50" s="18"/>
      <c r="F50" s="183" t="s">
        <v>16</v>
      </c>
      <c r="G50" s="175"/>
      <c r="H50" s="175"/>
      <c r="I50" s="175"/>
      <c r="J50" s="175"/>
      <c r="K50" s="175"/>
      <c r="L50" s="175"/>
      <c r="M50" s="175"/>
      <c r="N50" s="176"/>
      <c r="O50" s="153"/>
      <c r="P50"/>
      <c r="Q50"/>
      <c r="R50"/>
      <c r="S50"/>
    </row>
    <row r="51" spans="1:19" ht="9.75" customHeight="1">
      <c r="A51" s="16"/>
      <c r="B51" s="17"/>
      <c r="C51" s="18"/>
      <c r="D51" s="18"/>
      <c r="F51" s="183" t="s">
        <v>101</v>
      </c>
      <c r="G51" s="175"/>
      <c r="H51" s="175"/>
      <c r="I51" s="175"/>
      <c r="J51" s="175"/>
      <c r="K51" s="175"/>
      <c r="L51" s="175"/>
      <c r="M51" s="175"/>
      <c r="N51" s="176"/>
      <c r="O51" s="153"/>
      <c r="P51"/>
      <c r="Q51"/>
      <c r="R51"/>
      <c r="S51"/>
    </row>
    <row r="52" spans="1:19" ht="11.25" customHeight="1">
      <c r="A52" s="16"/>
      <c r="B52" s="17"/>
      <c r="C52" s="18"/>
      <c r="D52" s="18"/>
      <c r="F52" s="79" t="s">
        <v>105</v>
      </c>
      <c r="G52" s="80"/>
      <c r="H52" s="80"/>
      <c r="I52" s="80"/>
      <c r="J52" s="80"/>
      <c r="K52" s="130"/>
      <c r="L52" s="130"/>
      <c r="M52" s="130"/>
      <c r="N52" s="166"/>
      <c r="O52" s="153"/>
      <c r="P52"/>
      <c r="Q52"/>
      <c r="R52"/>
      <c r="S52"/>
    </row>
    <row r="53" spans="1:19" ht="12" customHeight="1" thickBot="1">
      <c r="A53" s="16"/>
      <c r="B53" s="17"/>
      <c r="C53" s="18"/>
      <c r="D53" s="18"/>
      <c r="F53" s="186" t="s">
        <v>38</v>
      </c>
      <c r="G53" s="177"/>
      <c r="H53" s="178"/>
      <c r="I53" s="178"/>
      <c r="J53" s="178"/>
      <c r="K53" s="170"/>
      <c r="L53" s="170"/>
      <c r="M53" s="170"/>
      <c r="N53" s="171"/>
      <c r="O53" s="153"/>
      <c r="P53"/>
      <c r="Q53"/>
      <c r="R53"/>
      <c r="S53"/>
    </row>
    <row r="54" spans="1:19" ht="11.25" customHeight="1">
      <c r="A54" s="16"/>
      <c r="B54" s="17"/>
      <c r="C54" s="18"/>
      <c r="D54" s="18"/>
      <c r="E54" s="53"/>
      <c r="F54" s="53"/>
      <c r="G54" s="53"/>
      <c r="H54" s="53"/>
      <c r="I54" s="53"/>
      <c r="J54" s="53"/>
      <c r="K54" s="12"/>
      <c r="L54" s="12"/>
      <c r="M54" s="12"/>
      <c r="N54" s="15"/>
      <c r="O54" s="153"/>
      <c r="P54"/>
      <c r="Q54"/>
      <c r="R54"/>
      <c r="S54"/>
    </row>
    <row r="55" spans="2:19" ht="11.25" customHeight="1" thickBot="1">
      <c r="B55" s="215"/>
      <c r="C55" s="216"/>
      <c r="D55" s="216"/>
      <c r="E55" s="216"/>
      <c r="F55" s="216"/>
      <c r="G55" s="216"/>
      <c r="H55" s="216"/>
      <c r="I55" s="216"/>
      <c r="J55" s="216"/>
      <c r="K55" s="55"/>
      <c r="L55" s="55"/>
      <c r="M55" s="55"/>
      <c r="N55" s="56"/>
      <c r="O55" s="153"/>
      <c r="P55"/>
      <c r="Q55"/>
      <c r="R55"/>
      <c r="S55"/>
    </row>
    <row r="56" spans="15:19" ht="12.75">
      <c r="O56" s="153"/>
      <c r="P56"/>
      <c r="Q56"/>
      <c r="R56"/>
      <c r="S56"/>
    </row>
  </sheetData>
  <sheetProtection password="CE5A" sheet="1" objects="1" scenarios="1"/>
  <mergeCells count="22">
    <mergeCell ref="E27:N27"/>
    <mergeCell ref="E28:N28"/>
    <mergeCell ref="B30:J30"/>
    <mergeCell ref="E25:N25"/>
    <mergeCell ref="E26:N26"/>
    <mergeCell ref="B2:N2"/>
    <mergeCell ref="B3:N3"/>
    <mergeCell ref="B7:C7"/>
    <mergeCell ref="E24:N24"/>
    <mergeCell ref="E5:G5"/>
    <mergeCell ref="H5:K5"/>
    <mergeCell ref="L5:N5"/>
    <mergeCell ref="H38:N38"/>
    <mergeCell ref="B55:J55"/>
    <mergeCell ref="G8:G10"/>
    <mergeCell ref="B32:C32"/>
    <mergeCell ref="G33:G35"/>
    <mergeCell ref="I33:M33"/>
    <mergeCell ref="H37:N37"/>
    <mergeCell ref="I8:M8"/>
    <mergeCell ref="H12:N12"/>
    <mergeCell ref="H13:N13"/>
  </mergeCells>
  <conditionalFormatting sqref="I15:I23">
    <cfRule type="cellIs" priority="1" dxfId="0" operator="between" stopIfTrue="1">
      <formula>MAX($I$15:$I$23)-0.5</formula>
      <formula>MAX($I$15:$I$23)+0.5</formula>
    </cfRule>
    <cfRule type="cellIs" priority="2" dxfId="1" operator="between" stopIfTrue="1">
      <formula>MAX($I$15:$I$23)-0.5</formula>
      <formula>MAX($I$15:$I$23)-1.5</formula>
    </cfRule>
    <cfRule type="cellIs" priority="3" dxfId="1" operator="between" stopIfTrue="1">
      <formula>MAX($I$15:$I$23)+0.5</formula>
      <formula>MAX($I$15:$I$23)+1.5</formula>
    </cfRule>
  </conditionalFormatting>
  <conditionalFormatting sqref="J15:J23">
    <cfRule type="cellIs" priority="4" dxfId="0" operator="between" stopIfTrue="1">
      <formula>MAX($J$15:$J$23)-0.5</formula>
      <formula>MAX($J$15:$J$23)+0.5</formula>
    </cfRule>
    <cfRule type="cellIs" priority="5" dxfId="1" operator="between" stopIfTrue="1">
      <formula>MAX($J$15:$J$23)-0.5</formula>
      <formula>MAX($J$15:$J$23)-1.5</formula>
    </cfRule>
    <cfRule type="cellIs" priority="6" dxfId="1" operator="between" stopIfTrue="1">
      <formula>MAX($J$15:$J$23)+0.5</formula>
      <formula>MAX($J$15:$J$23)+1.5</formula>
    </cfRule>
  </conditionalFormatting>
  <conditionalFormatting sqref="K15:K23">
    <cfRule type="cellIs" priority="7" dxfId="0" operator="between" stopIfTrue="1">
      <formula>MAX($K$15:$K$23)-0.5</formula>
      <formula>MAX($K$15:$K$23)+0.5</formula>
    </cfRule>
    <cfRule type="cellIs" priority="8" dxfId="1" operator="between" stopIfTrue="1">
      <formula>MAX($K$15:$K$23)-0.5</formula>
      <formula>MAX($K$15:$K$23)-1.5</formula>
    </cfRule>
    <cfRule type="cellIs" priority="9" dxfId="1" operator="between" stopIfTrue="1">
      <formula>MAX($K$15:$K$23)+0.5</formula>
      <formula>MAX($K$15:$K$23)+1.5</formula>
    </cfRule>
  </conditionalFormatting>
  <conditionalFormatting sqref="L15:L23">
    <cfRule type="cellIs" priority="10" dxfId="0" operator="between" stopIfTrue="1">
      <formula>MAX($L$15:$L$23)-0.5</formula>
      <formula>MAX($L$15:$L$23)+0.5</formula>
    </cfRule>
    <cfRule type="cellIs" priority="11" dxfId="1" operator="between" stopIfTrue="1">
      <formula>MAX($L$15:$L$23)-0.5</formula>
      <formula>MAX($L$15:$L$23)-1.5</formula>
    </cfRule>
    <cfRule type="cellIs" priority="12" dxfId="1" operator="between" stopIfTrue="1">
      <formula>MAX($L$15:$L$23+0.5)</formula>
      <formula>MAX($L$15:$L$23)+1.5</formula>
    </cfRule>
  </conditionalFormatting>
  <conditionalFormatting sqref="M15:M23">
    <cfRule type="cellIs" priority="13" dxfId="0" operator="between" stopIfTrue="1">
      <formula>MAX($M$15:$M$23)-0.5</formula>
      <formula>":$M$23)+0.5"</formula>
    </cfRule>
    <cfRule type="cellIs" priority="14" dxfId="1" operator="between" stopIfTrue="1">
      <formula>MAX($M$15:$M$23)-0.5</formula>
      <formula>MAX($M$15:$M$23)-1.5</formula>
    </cfRule>
    <cfRule type="cellIs" priority="15" dxfId="1" operator="between" stopIfTrue="1">
      <formula>MAX($M$15:$M$23)+0.5</formula>
      <formula>MAX($M$15:$M$23)+1.5</formula>
    </cfRule>
  </conditionalFormatting>
  <conditionalFormatting sqref="N15:N23">
    <cfRule type="cellIs" priority="16" dxfId="0" operator="between" stopIfTrue="1">
      <formula>MAX($N$15:$N$23)-0.5</formula>
      <formula>MAX($N$15:$N$23)+0.5</formula>
    </cfRule>
    <cfRule type="cellIs" priority="17" dxfId="1" operator="between" stopIfTrue="1">
      <formula>MAX($N$15:$N$23)-0.5</formula>
      <formula>MAX($N$15:$N$23)-1.5</formula>
    </cfRule>
    <cfRule type="cellIs" priority="18" dxfId="1" operator="between" stopIfTrue="1">
      <formula>MAX($N$15:$N$23)+0.5</formula>
      <formula>MAX($N$15:$N$23)+1.5</formula>
    </cfRule>
  </conditionalFormatting>
  <conditionalFormatting sqref="H40:H48">
    <cfRule type="cellIs" priority="19" dxfId="0" operator="between" stopIfTrue="1">
      <formula>MAX($H$40:$H$48)-0.5</formula>
      <formula>MAX($H$40:$H$48)+0.5</formula>
    </cfRule>
    <cfRule type="cellIs" priority="20" dxfId="1" operator="between" stopIfTrue="1">
      <formula>MAX($H$40:$H$48)-0.5</formula>
      <formula>MAX($H$40:$H$48)-1.5</formula>
    </cfRule>
    <cfRule type="cellIs" priority="21" dxfId="1" operator="between" stopIfTrue="1">
      <formula>MAX($H$40:$H$48+0.5)</formula>
      <formula>MAX($H$40:$H$48)+1.5</formula>
    </cfRule>
  </conditionalFormatting>
  <conditionalFormatting sqref="I40:I48">
    <cfRule type="cellIs" priority="22" dxfId="0" operator="between" stopIfTrue="1">
      <formula>MAX($I$40:$I$55)-0.5</formula>
      <formula>MAX($I$40:$I$55)+0.5</formula>
    </cfRule>
    <cfRule type="cellIs" priority="23" dxfId="1" operator="between" stopIfTrue="1">
      <formula>MAX($I$40:$I$55)-0.5</formula>
      <formula>MAX($I$40:$I$55)-1.5</formula>
    </cfRule>
    <cfRule type="cellIs" priority="24" dxfId="1" operator="between" stopIfTrue="1">
      <formula>MAX($I$40:$I$55)+0.5</formula>
      <formula>MAX($I$40:$I$55)+1.5</formula>
    </cfRule>
  </conditionalFormatting>
  <conditionalFormatting sqref="J40:J48">
    <cfRule type="cellIs" priority="25" dxfId="0" operator="between" stopIfTrue="1">
      <formula>MAX($J$40:$J$55)-0.5</formula>
      <formula>MAX($J$40:$J$55)+0.5</formula>
    </cfRule>
    <cfRule type="cellIs" priority="26" dxfId="1" operator="between" stopIfTrue="1">
      <formula>MAX($J$40:$J$55)-0.5</formula>
      <formula>MAX($J$40:$J$55)-1.5</formula>
    </cfRule>
    <cfRule type="cellIs" priority="27" dxfId="1" operator="between" stopIfTrue="1">
      <formula>MAX($J$40:$J$55)+0.5</formula>
      <formula>MAX($J$40:$J$55)+1.5</formula>
    </cfRule>
  </conditionalFormatting>
  <conditionalFormatting sqref="K40:K48">
    <cfRule type="cellIs" priority="28" dxfId="0" operator="between" stopIfTrue="1">
      <formula>MAX($K$40:$K$55)-0.5</formula>
      <formula>MAX($K$40:$K$55)+0.5</formula>
    </cfRule>
    <cfRule type="cellIs" priority="29" dxfId="1" operator="between" stopIfTrue="1">
      <formula>MAX($K$40:$K$55)-0.5</formula>
      <formula>MAX($K$40:$K$55)-1.5</formula>
    </cfRule>
    <cfRule type="cellIs" priority="30" dxfId="1" operator="between" stopIfTrue="1">
      <formula>MAX($K$40:$K$55)+0.5</formula>
      <formula>MAX($K$40:$K$55)+1.5</formula>
    </cfRule>
  </conditionalFormatting>
  <conditionalFormatting sqref="L40:L48">
    <cfRule type="cellIs" priority="31" dxfId="0" operator="between" stopIfTrue="1">
      <formula>MAX($L$40:$L$55)-0.5</formula>
      <formula>MAX($L$40:$L$55)+0.5</formula>
    </cfRule>
    <cfRule type="cellIs" priority="32" dxfId="1" operator="between" stopIfTrue="1">
      <formula>MAX($L$40:$L$55)-0.5</formula>
      <formula>MAX($L$40:$L$55)-1.5</formula>
    </cfRule>
    <cfRule type="cellIs" priority="33" dxfId="1" operator="between" stopIfTrue="1">
      <formula>MAX($L$40:$L$55)+0.5</formula>
      <formula>MAX($L$40:$L$55)+1.5</formula>
    </cfRule>
  </conditionalFormatting>
  <conditionalFormatting sqref="M40:M48">
    <cfRule type="cellIs" priority="34" dxfId="0" operator="between" stopIfTrue="1">
      <formula>MAX($M$40:$M$55)-0.5</formula>
      <formula>MAX($M$40:$M$55)+0.5</formula>
    </cfRule>
    <cfRule type="cellIs" priority="35" dxfId="1" operator="between" stopIfTrue="1">
      <formula>MAX($M$40:$M$55)-0.5</formula>
      <formula>MAX($M$40:$M$55)-1.5</formula>
    </cfRule>
    <cfRule type="cellIs" priority="36" dxfId="1" operator="between" stopIfTrue="1">
      <formula>MAX($M$40:$M$55)+0.5</formula>
      <formula>MAX($M$40:$M$55)+1.5</formula>
    </cfRule>
  </conditionalFormatting>
  <conditionalFormatting sqref="N40:N48">
    <cfRule type="cellIs" priority="37" dxfId="0" operator="between" stopIfTrue="1">
      <formula>MAX($N$40:$N$55)-0.5</formula>
      <formula>MAX($N$40:$N$55)+0.5</formula>
    </cfRule>
    <cfRule type="cellIs" priority="38" dxfId="1" operator="between" stopIfTrue="1">
      <formula>MAX($N$40:$N$55)-0.5</formula>
      <formula>MAX($N$40:$N$55)-1.5</formula>
    </cfRule>
    <cfRule type="cellIs" priority="39" dxfId="1" operator="between" stopIfTrue="1">
      <formula>MAX($N$40:$N$55)+0.5</formula>
      <formula>MAX($N$40:$N$55)+1.5</formula>
    </cfRule>
  </conditionalFormatting>
  <conditionalFormatting sqref="H15:H23">
    <cfRule type="cellIs" priority="40" dxfId="0" operator="between" stopIfTrue="1">
      <formula>MAX($H$15:$H$23)-0.5</formula>
      <formula>MAX($H$15:$H$23)+0.5</formula>
    </cfRule>
    <cfRule type="cellIs" priority="41" dxfId="1" operator="between" stopIfTrue="1">
      <formula>MAX($H$15:$H$23)-1.5</formula>
      <formula>MAX($H$15:$H$23)-0.5</formula>
    </cfRule>
    <cfRule type="cellIs" priority="42" dxfId="1" operator="between" stopIfTrue="1">
      <formula>MAX($H$15:$H$23)+0.5</formula>
      <formula>MAX($H$15:$H$23)+1.5</formula>
    </cfRule>
  </conditionalFormatting>
  <hyperlinks>
    <hyperlink ref="E5" location="'Barley (Dry) MR'!A1" display="Go to Marginal Revenue Chart"/>
    <hyperlink ref="H5" location="'Barley (Dry) Fertilizer'!A1" display="Go to Fertilizer Price as a Variable"/>
    <hyperlink ref="L5" location="'Data Entry'!A1" display="Return to Data Entry"/>
    <hyperlink ref="G33" location="'Wheat crop price'!D47" display="Go to Total Net Return"/>
    <hyperlink ref="G33:G35" location="'Barley (Dry) Crop'!D1" display="Return to Net Return"/>
    <hyperlink ref="G8" location="'Wheat crop price'!D47" display="Go to Total Net Return"/>
    <hyperlink ref="G8:G10" location="'Barley (Dry) Crop'!D53" display="Go to Total Net Return Below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6"/>
  <sheetViews>
    <sheetView showGridLines="0" workbookViewId="0" topLeftCell="A1">
      <selection activeCell="G18" sqref="G18"/>
    </sheetView>
  </sheetViews>
  <sheetFormatPr defaultColWidth="9.140625" defaultRowHeight="12.75"/>
  <cols>
    <col min="1" max="1" width="1.57421875" style="10" customWidth="1"/>
    <col min="2" max="2" width="17.28125" style="10" customWidth="1"/>
    <col min="3" max="6" width="9.140625" style="10" customWidth="1"/>
    <col min="7" max="7" width="13.57421875" style="10" customWidth="1"/>
    <col min="8" max="14" width="9.140625" style="10" customWidth="1"/>
    <col min="15" max="15" width="12.00390625" style="154" customWidth="1"/>
    <col min="16" max="16" width="9.7109375" style="10" customWidth="1"/>
    <col min="17" max="16384" width="9.140625" style="10" customWidth="1"/>
  </cols>
  <sheetData>
    <row r="1" spans="2:10" ht="6" customHeight="1" thickBot="1">
      <c r="B1" s="11"/>
      <c r="C1" s="11"/>
      <c r="D1" s="11"/>
      <c r="E1" s="11"/>
      <c r="F1" s="11"/>
      <c r="G1" s="11"/>
      <c r="H1" s="11"/>
      <c r="I1" s="11"/>
      <c r="J1" s="11"/>
    </row>
    <row r="2" spans="1:14" ht="20.25">
      <c r="A2" s="11"/>
      <c r="B2" s="254" t="s">
        <v>40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6"/>
    </row>
    <row r="3" spans="1:14" ht="20.25">
      <c r="A3" s="11"/>
      <c r="B3" s="257" t="s">
        <v>49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9"/>
    </row>
    <row r="4" spans="1:17" ht="6.75" customHeight="1">
      <c r="A4" s="11"/>
      <c r="B4" s="13"/>
      <c r="C4" s="14"/>
      <c r="D4" s="14"/>
      <c r="E4" s="14"/>
      <c r="F4" s="14"/>
      <c r="G4" s="14"/>
      <c r="H4" s="14"/>
      <c r="I4" s="14"/>
      <c r="J4" s="14"/>
      <c r="K4" s="12"/>
      <c r="L4" s="12"/>
      <c r="M4" s="12"/>
      <c r="N4" s="15"/>
      <c r="O4" s="159"/>
      <c r="P4" s="158"/>
      <c r="Q4" s="158"/>
    </row>
    <row r="5" spans="2:17" ht="12.75">
      <c r="B5" s="198"/>
      <c r="C5" s="199"/>
      <c r="D5" s="199"/>
      <c r="E5" s="253" t="s">
        <v>110</v>
      </c>
      <c r="F5" s="253"/>
      <c r="G5" s="253"/>
      <c r="H5" s="253" t="s">
        <v>120</v>
      </c>
      <c r="I5" s="253"/>
      <c r="J5" s="253"/>
      <c r="K5" s="280"/>
      <c r="L5" s="261" t="s">
        <v>96</v>
      </c>
      <c r="M5" s="280"/>
      <c r="N5" s="282"/>
      <c r="P5" s="158"/>
      <c r="Q5" s="158"/>
    </row>
    <row r="6" spans="1:15" ht="4.5" customHeight="1" thickBot="1">
      <c r="A6" s="16"/>
      <c r="B6" s="17"/>
      <c r="C6" s="18"/>
      <c r="D6" s="18"/>
      <c r="E6" s="18"/>
      <c r="F6" s="18"/>
      <c r="G6" s="18"/>
      <c r="H6" s="18"/>
      <c r="I6" s="18"/>
      <c r="J6" s="18"/>
      <c r="K6" s="12"/>
      <c r="L6" s="12"/>
      <c r="M6" s="12"/>
      <c r="N6" s="15"/>
      <c r="O6" s="155"/>
    </row>
    <row r="7" spans="1:15" ht="15.75" customHeight="1" thickBot="1">
      <c r="A7" s="16"/>
      <c r="B7" s="234" t="s">
        <v>39</v>
      </c>
      <c r="C7" s="235"/>
      <c r="D7" s="18"/>
      <c r="E7" s="18"/>
      <c r="F7" s="18"/>
      <c r="G7" s="18"/>
      <c r="H7" s="18"/>
      <c r="I7" s="19"/>
      <c r="J7" s="18"/>
      <c r="K7" s="19"/>
      <c r="L7" s="12"/>
      <c r="M7" s="12"/>
      <c r="N7" s="15"/>
      <c r="O7" s="155"/>
    </row>
    <row r="8" spans="1:15" ht="15" customHeight="1">
      <c r="A8" s="16"/>
      <c r="B8" s="87" t="s">
        <v>1</v>
      </c>
      <c r="C8" s="21" t="str">
        <f>'Data Entry'!C7</f>
        <v>UREA</v>
      </c>
      <c r="D8" s="18"/>
      <c r="E8" s="22"/>
      <c r="F8" s="23"/>
      <c r="G8" s="213" t="s">
        <v>100</v>
      </c>
      <c r="H8" s="23"/>
      <c r="I8" s="266" t="s">
        <v>22</v>
      </c>
      <c r="J8" s="267"/>
      <c r="K8" s="267"/>
      <c r="L8" s="267"/>
      <c r="M8" s="267"/>
      <c r="N8" s="24"/>
      <c r="O8" s="155"/>
    </row>
    <row r="9" spans="1:15" ht="15">
      <c r="A9" s="16"/>
      <c r="B9" s="20" t="s">
        <v>3</v>
      </c>
      <c r="C9" s="59">
        <f>'Data Entry'!C8</f>
        <v>700</v>
      </c>
      <c r="D9" s="18"/>
      <c r="E9" s="17"/>
      <c r="F9" s="18"/>
      <c r="G9" s="214"/>
      <c r="H9" s="18"/>
      <c r="I9" s="19"/>
      <c r="J9" s="18"/>
      <c r="K9" s="19"/>
      <c r="L9" s="12"/>
      <c r="M9" s="12"/>
      <c r="N9" s="15"/>
      <c r="O9" s="155"/>
    </row>
    <row r="10" spans="1:15" ht="15">
      <c r="A10" s="16"/>
      <c r="B10" s="20" t="s">
        <v>4</v>
      </c>
      <c r="C10" s="25">
        <f>'Data Entry'!C9</f>
        <v>46</v>
      </c>
      <c r="D10" s="18"/>
      <c r="E10" s="17"/>
      <c r="F10" s="18"/>
      <c r="G10" s="214"/>
      <c r="H10" s="26">
        <f>K10-C14*3</f>
        <v>1</v>
      </c>
      <c r="I10" s="26">
        <f>K10-C14*2</f>
        <v>1.5</v>
      </c>
      <c r="J10" s="26">
        <f>K10-C14</f>
        <v>2</v>
      </c>
      <c r="K10" s="27">
        <f>'Data Entry'!F15</f>
        <v>2.5</v>
      </c>
      <c r="L10" s="26">
        <f>K10+C14</f>
        <v>3</v>
      </c>
      <c r="M10" s="26">
        <f>K10+C14*2</f>
        <v>3.5</v>
      </c>
      <c r="N10" s="28">
        <f>K10+C14*3</f>
        <v>4</v>
      </c>
      <c r="O10" s="155"/>
    </row>
    <row r="11" spans="1:15" ht="15">
      <c r="A11" s="16"/>
      <c r="B11" s="20" t="s">
        <v>5</v>
      </c>
      <c r="C11" s="61">
        <f>(C9/((C10/100)*2200))</f>
        <v>0.691699604743083</v>
      </c>
      <c r="D11" s="18"/>
      <c r="E11" s="17"/>
      <c r="F11" s="18"/>
      <c r="G11" s="29" t="s">
        <v>6</v>
      </c>
      <c r="H11" s="18"/>
      <c r="I11" s="18"/>
      <c r="J11" s="18"/>
      <c r="K11" s="12"/>
      <c r="L11" s="12"/>
      <c r="M11" s="12"/>
      <c r="N11" s="15"/>
      <c r="O11" s="155"/>
    </row>
    <row r="12" spans="1:19" ht="15">
      <c r="A12" s="16"/>
      <c r="B12" s="30" t="s">
        <v>20</v>
      </c>
      <c r="C12" s="31">
        <f>'Data Entry'!C11</f>
        <v>10</v>
      </c>
      <c r="D12" s="18"/>
      <c r="E12" s="32"/>
      <c r="F12" s="29" t="s">
        <v>67</v>
      </c>
      <c r="G12" s="29" t="s">
        <v>7</v>
      </c>
      <c r="H12" s="274" t="s">
        <v>8</v>
      </c>
      <c r="I12" s="274"/>
      <c r="J12" s="274"/>
      <c r="K12" s="274"/>
      <c r="L12" s="274"/>
      <c r="M12" s="274"/>
      <c r="N12" s="275"/>
      <c r="O12" s="153"/>
      <c r="P12"/>
      <c r="Q12"/>
      <c r="R12"/>
      <c r="S12"/>
    </row>
    <row r="13" spans="1:19" ht="15.75" thickBot="1">
      <c r="A13" s="16"/>
      <c r="B13" s="33" t="s">
        <v>106</v>
      </c>
      <c r="C13" s="34"/>
      <c r="D13" s="18"/>
      <c r="E13" s="35" t="s">
        <v>9</v>
      </c>
      <c r="F13" s="36" t="s">
        <v>68</v>
      </c>
      <c r="G13" s="36" t="s">
        <v>10</v>
      </c>
      <c r="H13" s="219" t="s">
        <v>23</v>
      </c>
      <c r="I13" s="219"/>
      <c r="J13" s="219"/>
      <c r="K13" s="219"/>
      <c r="L13" s="219"/>
      <c r="M13" s="219"/>
      <c r="N13" s="212"/>
      <c r="O13" s="153"/>
      <c r="P13"/>
      <c r="Q13"/>
      <c r="R13"/>
      <c r="S13"/>
    </row>
    <row r="14" spans="1:19" ht="15">
      <c r="A14" s="16"/>
      <c r="B14" s="37" t="s">
        <v>108</v>
      </c>
      <c r="C14" s="38">
        <f>'Data Entry'!C13</f>
        <v>0.5</v>
      </c>
      <c r="D14" s="18"/>
      <c r="E14" s="39" t="s">
        <v>11</v>
      </c>
      <c r="F14" s="40" t="s">
        <v>12</v>
      </c>
      <c r="G14" s="40" t="s">
        <v>12</v>
      </c>
      <c r="H14" s="41">
        <f aca="true" t="shared" si="0" ref="H14:N14">H10/$C$11</f>
        <v>1.4457142857142857</v>
      </c>
      <c r="I14" s="41">
        <f t="shared" si="0"/>
        <v>2.1685714285714286</v>
      </c>
      <c r="J14" s="41">
        <f t="shared" si="0"/>
        <v>2.8914285714285715</v>
      </c>
      <c r="K14" s="41">
        <f t="shared" si="0"/>
        <v>3.6142857142857143</v>
      </c>
      <c r="L14" s="41">
        <f t="shared" si="0"/>
        <v>4.337142857142857</v>
      </c>
      <c r="M14" s="41">
        <f t="shared" si="0"/>
        <v>5.06</v>
      </c>
      <c r="N14" s="42">
        <f t="shared" si="0"/>
        <v>5.782857142857143</v>
      </c>
      <c r="O14" s="153"/>
      <c r="P14"/>
      <c r="Q14"/>
      <c r="R14"/>
      <c r="S14"/>
    </row>
    <row r="15" spans="1:19" ht="15">
      <c r="A15" s="16"/>
      <c r="B15" s="43" t="s">
        <v>28</v>
      </c>
      <c r="C15" s="34"/>
      <c r="D15" s="18"/>
      <c r="E15" s="44">
        <f>IF((E19-4*$C$12)&lt;0,0,(E19-4*$C$12))</f>
        <v>0</v>
      </c>
      <c r="F15" s="126">
        <f>G15+(-0.0032*($C$16)^2+0.6709*($C$16))+23.93</f>
        <v>41.17700000000001</v>
      </c>
      <c r="G15" s="126">
        <f>IF((O15=-(-0.0032*($C$16)^2+0.6709*($C$16)-(-0.0032*($C$16)^2+0.6709*($C$16))))&lt;0,0,(-0.0032*(E15+$C$16)^2+0.6709*(E15+$C$16))-(-0.0032*($C$16)^2+0.6709*($C$16)))</f>
        <v>0</v>
      </c>
      <c r="H15" s="135">
        <f aca="true" t="shared" si="1" ref="H15:N23">(H$10*$G15)-($C$11*($E15))</f>
        <v>0</v>
      </c>
      <c r="I15" s="135">
        <f t="shared" si="1"/>
        <v>0</v>
      </c>
      <c r="J15" s="135">
        <f t="shared" si="1"/>
        <v>0</v>
      </c>
      <c r="K15" s="135">
        <f t="shared" si="1"/>
        <v>0</v>
      </c>
      <c r="L15" s="135">
        <f t="shared" si="1"/>
        <v>0</v>
      </c>
      <c r="M15" s="135">
        <f t="shared" si="1"/>
        <v>0</v>
      </c>
      <c r="N15" s="136">
        <f t="shared" si="1"/>
        <v>0</v>
      </c>
      <c r="O15" s="153"/>
      <c r="P15"/>
      <c r="Q15"/>
      <c r="R15"/>
      <c r="S15"/>
    </row>
    <row r="16" spans="1:19" ht="15">
      <c r="A16" s="16"/>
      <c r="B16" s="37" t="s">
        <v>29</v>
      </c>
      <c r="C16" s="45">
        <f>'Data Entry'!C15</f>
        <v>30</v>
      </c>
      <c r="D16" s="18"/>
      <c r="E16" s="44">
        <f>IF((E20-4*$C$12)&lt;0,0,(E20-4*$C$12))</f>
        <v>10</v>
      </c>
      <c r="F16" s="126">
        <f aca="true" t="shared" si="2" ref="F16:F23">G16+(-0.0032*($C$16)^2+0.6709*($C$16))+23.93</f>
        <v>45.646</v>
      </c>
      <c r="G16" s="126">
        <f aca="true" t="shared" si="3" ref="G16:G23">IF(((-0.0032*(E16+$C$16)^2+0.6709*(E16+$C$16))-(-0.0032*($C$16)^2+0.6709*($C$16)))&lt;0,0,(-0.0032*(E16+$C$16)^2+0.6709*(E16+$C$16))-(-0.0032*($C$16)^2+0.6709*($C$16)))</f>
        <v>4.468999999999998</v>
      </c>
      <c r="H16" s="135">
        <f t="shared" si="1"/>
        <v>-2.4479960474308324</v>
      </c>
      <c r="I16" s="135">
        <f t="shared" si="1"/>
        <v>-0.2134960474308336</v>
      </c>
      <c r="J16" s="135">
        <f t="shared" si="1"/>
        <v>2.021003952569165</v>
      </c>
      <c r="K16" s="135">
        <f t="shared" si="1"/>
        <v>4.255503952569164</v>
      </c>
      <c r="L16" s="135">
        <f t="shared" si="1"/>
        <v>6.490003952569163</v>
      </c>
      <c r="M16" s="135">
        <f t="shared" si="1"/>
        <v>8.724503952569162</v>
      </c>
      <c r="N16" s="136">
        <f t="shared" si="1"/>
        <v>10.95900395256916</v>
      </c>
      <c r="O16" s="153"/>
      <c r="P16"/>
      <c r="Q16"/>
      <c r="R16"/>
      <c r="S16"/>
    </row>
    <row r="17" spans="1:19" ht="15">
      <c r="A17" s="16"/>
      <c r="B17" s="43" t="s">
        <v>30</v>
      </c>
      <c r="C17" s="46"/>
      <c r="D17" s="18"/>
      <c r="E17" s="44">
        <f>IF((E21-4*$C$12)&lt;0,0,(E21-4*$C$12))</f>
        <v>20</v>
      </c>
      <c r="F17" s="126">
        <f t="shared" si="2"/>
        <v>49.475</v>
      </c>
      <c r="G17" s="126">
        <f t="shared" si="3"/>
        <v>8.297999999999998</v>
      </c>
      <c r="H17" s="135">
        <f t="shared" si="1"/>
        <v>-5.535992094861662</v>
      </c>
      <c r="I17" s="135">
        <f t="shared" si="1"/>
        <v>-1.3869920948616627</v>
      </c>
      <c r="J17" s="135">
        <f t="shared" si="1"/>
        <v>2.7620079051383364</v>
      </c>
      <c r="K17" s="135">
        <f t="shared" si="1"/>
        <v>6.911007905138337</v>
      </c>
      <c r="L17" s="135">
        <f t="shared" si="1"/>
        <v>11.060007905138335</v>
      </c>
      <c r="M17" s="135">
        <f t="shared" si="1"/>
        <v>15.209007905138332</v>
      </c>
      <c r="N17" s="136">
        <f t="shared" si="1"/>
        <v>19.358007905138333</v>
      </c>
      <c r="O17" s="153"/>
      <c r="P17"/>
      <c r="Q17"/>
      <c r="R17"/>
      <c r="S17"/>
    </row>
    <row r="18" spans="1:19" ht="15.75" thickBot="1">
      <c r="A18" s="16"/>
      <c r="B18" s="17"/>
      <c r="C18" s="18"/>
      <c r="D18" s="18"/>
      <c r="E18" s="44">
        <f>IF((E22-4*$C$12)&lt;0,0,(E22-4*$C$12))</f>
        <v>30</v>
      </c>
      <c r="F18" s="126">
        <f t="shared" si="2"/>
        <v>52.664</v>
      </c>
      <c r="G18" s="126">
        <f t="shared" si="3"/>
        <v>11.486999999999998</v>
      </c>
      <c r="H18" s="135">
        <f t="shared" si="1"/>
        <v>-9.263988142292494</v>
      </c>
      <c r="I18" s="135">
        <f t="shared" si="1"/>
        <v>-3.5204881422924927</v>
      </c>
      <c r="J18" s="135">
        <f t="shared" si="1"/>
        <v>2.2230118577075046</v>
      </c>
      <c r="K18" s="135">
        <f t="shared" si="1"/>
        <v>7.966511857707502</v>
      </c>
      <c r="L18" s="135">
        <f t="shared" si="1"/>
        <v>13.710011857707507</v>
      </c>
      <c r="M18" s="135">
        <f t="shared" si="1"/>
        <v>19.453511857707504</v>
      </c>
      <c r="N18" s="136">
        <f t="shared" si="1"/>
        <v>25.1970118577075</v>
      </c>
      <c r="O18" s="153"/>
      <c r="P18"/>
      <c r="Q18"/>
      <c r="R18"/>
      <c r="S18"/>
    </row>
    <row r="19" spans="1:19" ht="15.75" thickBot="1">
      <c r="A19" s="16"/>
      <c r="B19" s="54"/>
      <c r="C19" s="48"/>
      <c r="D19" s="49" t="s">
        <v>13</v>
      </c>
      <c r="E19" s="50">
        <f>'Data Entry'!H10</f>
        <v>40</v>
      </c>
      <c r="F19" s="126">
        <f t="shared" si="2"/>
        <v>55.213</v>
      </c>
      <c r="G19" s="126">
        <f t="shared" si="3"/>
        <v>14.035999999999998</v>
      </c>
      <c r="H19" s="135">
        <f t="shared" si="1"/>
        <v>-13.631984189723322</v>
      </c>
      <c r="I19" s="135">
        <f t="shared" si="1"/>
        <v>-6.613984189723325</v>
      </c>
      <c r="J19" s="135">
        <f t="shared" si="1"/>
        <v>0.4040158102766753</v>
      </c>
      <c r="K19" s="135">
        <f t="shared" si="1"/>
        <v>7.422015810276676</v>
      </c>
      <c r="L19" s="135">
        <f t="shared" si="1"/>
        <v>14.44001581027667</v>
      </c>
      <c r="M19" s="135">
        <f t="shared" si="1"/>
        <v>21.45801581027667</v>
      </c>
      <c r="N19" s="136">
        <f t="shared" si="1"/>
        <v>28.47601581027667</v>
      </c>
      <c r="O19" s="153"/>
      <c r="P19"/>
      <c r="Q19"/>
      <c r="R19"/>
      <c r="S19"/>
    </row>
    <row r="20" spans="1:19" ht="15">
      <c r="A20" s="16"/>
      <c r="B20" s="17"/>
      <c r="C20" s="18"/>
      <c r="D20" s="18"/>
      <c r="E20" s="51">
        <f>E19+C12</f>
        <v>50</v>
      </c>
      <c r="F20" s="126">
        <f t="shared" si="2"/>
        <v>57.12200000000001</v>
      </c>
      <c r="G20" s="126">
        <f t="shared" si="3"/>
        <v>15.945000000000004</v>
      </c>
      <c r="H20" s="135">
        <f t="shared" si="1"/>
        <v>-18.639980237154145</v>
      </c>
      <c r="I20" s="135">
        <f t="shared" si="1"/>
        <v>-10.667480237154145</v>
      </c>
      <c r="J20" s="135">
        <f t="shared" si="1"/>
        <v>-2.694980237154141</v>
      </c>
      <c r="K20" s="135">
        <f t="shared" si="1"/>
        <v>5.277519762845863</v>
      </c>
      <c r="L20" s="135">
        <f t="shared" si="1"/>
        <v>13.25001976284586</v>
      </c>
      <c r="M20" s="135">
        <f t="shared" si="1"/>
        <v>21.222519762845863</v>
      </c>
      <c r="N20" s="136">
        <f t="shared" si="1"/>
        <v>29.195019762845867</v>
      </c>
      <c r="O20" s="153"/>
      <c r="P20"/>
      <c r="Q20"/>
      <c r="R20"/>
      <c r="S20"/>
    </row>
    <row r="21" spans="1:19" ht="15">
      <c r="A21" s="16"/>
      <c r="B21" s="17"/>
      <c r="C21" s="18"/>
      <c r="D21" s="18"/>
      <c r="E21" s="51">
        <f>E19+2*C12</f>
        <v>60</v>
      </c>
      <c r="F21" s="126">
        <f t="shared" si="2"/>
        <v>58.391000000000005</v>
      </c>
      <c r="G21" s="126">
        <f t="shared" si="3"/>
        <v>17.214000000000002</v>
      </c>
      <c r="H21" s="135">
        <f t="shared" si="1"/>
        <v>-24.287976284584982</v>
      </c>
      <c r="I21" s="135">
        <f t="shared" si="1"/>
        <v>-15.680976284584979</v>
      </c>
      <c r="J21" s="135">
        <f t="shared" si="1"/>
        <v>-7.07397628458498</v>
      </c>
      <c r="K21" s="135">
        <f t="shared" si="1"/>
        <v>1.5330237154150197</v>
      </c>
      <c r="L21" s="135">
        <f t="shared" si="1"/>
        <v>10.140023715415026</v>
      </c>
      <c r="M21" s="135">
        <f t="shared" si="1"/>
        <v>18.747023715415025</v>
      </c>
      <c r="N21" s="136">
        <f t="shared" si="1"/>
        <v>27.354023715415025</v>
      </c>
      <c r="O21" s="153"/>
      <c r="P21"/>
      <c r="Q21"/>
      <c r="R21"/>
      <c r="S21"/>
    </row>
    <row r="22" spans="1:19" ht="15">
      <c r="A22" s="16"/>
      <c r="B22" s="17"/>
      <c r="C22" s="18"/>
      <c r="D22" s="18"/>
      <c r="E22" s="51">
        <f>E19+3*C12</f>
        <v>70</v>
      </c>
      <c r="F22" s="126">
        <f t="shared" si="2"/>
        <v>59.02</v>
      </c>
      <c r="G22" s="126">
        <f t="shared" si="3"/>
        <v>17.843</v>
      </c>
      <c r="H22" s="135">
        <f t="shared" si="1"/>
        <v>-30.575972332015812</v>
      </c>
      <c r="I22" s="135">
        <f t="shared" si="1"/>
        <v>-21.654472332015814</v>
      </c>
      <c r="J22" s="135">
        <f t="shared" si="1"/>
        <v>-12.732972332015812</v>
      </c>
      <c r="K22" s="135">
        <f t="shared" si="1"/>
        <v>-3.8114723320158106</v>
      </c>
      <c r="L22" s="135">
        <f t="shared" si="1"/>
        <v>5.110027667984184</v>
      </c>
      <c r="M22" s="135">
        <f t="shared" si="1"/>
        <v>14.031527667984186</v>
      </c>
      <c r="N22" s="136">
        <f t="shared" si="1"/>
        <v>22.953027667984188</v>
      </c>
      <c r="O22" s="153"/>
      <c r="P22"/>
      <c r="Q22"/>
      <c r="R22"/>
      <c r="S22"/>
    </row>
    <row r="23" spans="1:19" ht="15">
      <c r="A23" s="16"/>
      <c r="B23" s="17"/>
      <c r="C23" s="18"/>
      <c r="D23" s="18"/>
      <c r="E23" s="51">
        <f>E19+4*C12</f>
        <v>80</v>
      </c>
      <c r="F23" s="126">
        <f t="shared" si="2"/>
        <v>59.00900000000001</v>
      </c>
      <c r="G23" s="126">
        <f t="shared" si="3"/>
        <v>17.832000000000004</v>
      </c>
      <c r="H23" s="135">
        <f t="shared" si="1"/>
        <v>-37.50396837944663</v>
      </c>
      <c r="I23" s="135">
        <f t="shared" si="1"/>
        <v>-28.587968379446636</v>
      </c>
      <c r="J23" s="135">
        <f t="shared" si="1"/>
        <v>-19.671968379446632</v>
      </c>
      <c r="K23" s="135">
        <f t="shared" si="1"/>
        <v>-10.755968379446628</v>
      </c>
      <c r="L23" s="135">
        <f t="shared" si="1"/>
        <v>-1.8399683794466313</v>
      </c>
      <c r="M23" s="135">
        <f t="shared" si="1"/>
        <v>7.076031620553373</v>
      </c>
      <c r="N23" s="136">
        <f t="shared" si="1"/>
        <v>15.992031620553377</v>
      </c>
      <c r="O23" s="153"/>
      <c r="P23"/>
      <c r="Q23"/>
      <c r="R23"/>
      <c r="S23"/>
    </row>
    <row r="24" spans="1:19" ht="13.5" customHeight="1">
      <c r="A24" s="16"/>
      <c r="B24" s="17"/>
      <c r="C24" s="18"/>
      <c r="D24" s="18"/>
      <c r="E24" s="276" t="s">
        <v>55</v>
      </c>
      <c r="F24" s="277"/>
      <c r="G24" s="277"/>
      <c r="H24" s="277"/>
      <c r="I24" s="277"/>
      <c r="J24" s="277"/>
      <c r="K24" s="277"/>
      <c r="L24" s="277"/>
      <c r="M24" s="277"/>
      <c r="N24" s="278"/>
      <c r="O24" s="153"/>
      <c r="P24"/>
      <c r="Q24"/>
      <c r="R24"/>
      <c r="S24"/>
    </row>
    <row r="25" spans="1:19" ht="9.75" customHeight="1">
      <c r="A25" s="16"/>
      <c r="B25" s="17"/>
      <c r="C25" s="18"/>
      <c r="D25" s="18"/>
      <c r="E25" s="263" t="s">
        <v>16</v>
      </c>
      <c r="F25" s="264"/>
      <c r="G25" s="264"/>
      <c r="H25" s="264"/>
      <c r="I25" s="264"/>
      <c r="J25" s="264"/>
      <c r="K25" s="264"/>
      <c r="L25" s="264"/>
      <c r="M25" s="264"/>
      <c r="N25" s="265"/>
      <c r="O25" s="153"/>
      <c r="P25"/>
      <c r="Q25"/>
      <c r="R25"/>
      <c r="S25"/>
    </row>
    <row r="26" spans="1:19" ht="9.75" customHeight="1">
      <c r="A26" s="16"/>
      <c r="B26" s="17"/>
      <c r="C26" s="18"/>
      <c r="D26" s="18"/>
      <c r="E26" s="263" t="s">
        <v>24</v>
      </c>
      <c r="F26" s="264"/>
      <c r="G26" s="264"/>
      <c r="H26" s="264"/>
      <c r="I26" s="264"/>
      <c r="J26" s="264"/>
      <c r="K26" s="264"/>
      <c r="L26" s="264"/>
      <c r="M26" s="264"/>
      <c r="N26" s="265"/>
      <c r="O26" s="153"/>
      <c r="P26"/>
      <c r="Q26"/>
      <c r="R26"/>
      <c r="S26"/>
    </row>
    <row r="27" spans="1:19" ht="11.25" customHeight="1">
      <c r="A27" s="16"/>
      <c r="B27" s="17"/>
      <c r="C27" s="18"/>
      <c r="D27" s="18"/>
      <c r="E27" s="249" t="s">
        <v>87</v>
      </c>
      <c r="F27" s="250"/>
      <c r="G27" s="250"/>
      <c r="H27" s="250"/>
      <c r="I27" s="250"/>
      <c r="J27" s="250"/>
      <c r="K27" s="251"/>
      <c r="L27" s="251"/>
      <c r="M27" s="251"/>
      <c r="N27" s="252"/>
      <c r="O27" s="153"/>
      <c r="P27"/>
      <c r="Q27"/>
      <c r="R27"/>
      <c r="S27"/>
    </row>
    <row r="28" spans="1:19" ht="12" customHeight="1" thickBot="1">
      <c r="A28" s="16"/>
      <c r="B28" s="17"/>
      <c r="C28" s="18"/>
      <c r="D28" s="18"/>
      <c r="E28" s="269" t="s">
        <v>38</v>
      </c>
      <c r="F28" s="270"/>
      <c r="G28" s="271"/>
      <c r="H28" s="271"/>
      <c r="I28" s="271"/>
      <c r="J28" s="271"/>
      <c r="K28" s="272"/>
      <c r="L28" s="272"/>
      <c r="M28" s="272"/>
      <c r="N28" s="273"/>
      <c r="O28" s="153"/>
      <c r="P28"/>
      <c r="Q28"/>
      <c r="R28"/>
      <c r="S28"/>
    </row>
    <row r="29" spans="1:19" ht="10.5" customHeight="1">
      <c r="A29" s="16"/>
      <c r="B29" s="17"/>
      <c r="C29" s="18"/>
      <c r="D29" s="18"/>
      <c r="E29" s="53"/>
      <c r="F29" s="53"/>
      <c r="G29" s="53"/>
      <c r="H29" s="53"/>
      <c r="I29" s="53"/>
      <c r="J29" s="53"/>
      <c r="K29" s="12"/>
      <c r="L29" s="12"/>
      <c r="M29" s="12"/>
      <c r="N29" s="15"/>
      <c r="O29" s="153"/>
      <c r="P29"/>
      <c r="Q29"/>
      <c r="R29"/>
      <c r="S29"/>
    </row>
    <row r="30" spans="2:19" ht="10.5" customHeight="1" thickBot="1">
      <c r="B30" s="215"/>
      <c r="C30" s="216"/>
      <c r="D30" s="216"/>
      <c r="E30" s="216"/>
      <c r="F30" s="216"/>
      <c r="G30" s="216"/>
      <c r="H30" s="216"/>
      <c r="I30" s="216"/>
      <c r="J30" s="216"/>
      <c r="K30" s="55"/>
      <c r="L30" s="55"/>
      <c r="M30" s="55"/>
      <c r="N30" s="56"/>
      <c r="O30" s="153"/>
      <c r="P30"/>
      <c r="Q30"/>
      <c r="R30"/>
      <c r="S30"/>
    </row>
    <row r="31" spans="2:19" ht="4.5" customHeight="1" thickBot="1">
      <c r="B31" s="189"/>
      <c r="N31" s="24"/>
      <c r="O31" s="153"/>
      <c r="P31"/>
      <c r="Q31"/>
      <c r="R31"/>
      <c r="S31"/>
    </row>
    <row r="32" spans="1:15" ht="15.75" customHeight="1" thickBot="1">
      <c r="A32" s="16"/>
      <c r="B32" s="234" t="s">
        <v>39</v>
      </c>
      <c r="C32" s="235"/>
      <c r="E32" s="18"/>
      <c r="F32" s="18"/>
      <c r="G32" s="18"/>
      <c r="H32" s="18"/>
      <c r="I32" s="19"/>
      <c r="J32" s="18"/>
      <c r="K32" s="19"/>
      <c r="L32" s="12"/>
      <c r="M32" s="12"/>
      <c r="N32" s="15"/>
      <c r="O32" s="155"/>
    </row>
    <row r="33" spans="1:15" ht="15" customHeight="1">
      <c r="A33" s="16"/>
      <c r="B33" s="87" t="s">
        <v>1</v>
      </c>
      <c r="C33" s="21" t="str">
        <f>'Data Entry'!C7</f>
        <v>UREA</v>
      </c>
      <c r="D33" s="18"/>
      <c r="F33" s="22"/>
      <c r="G33" s="213" t="s">
        <v>102</v>
      </c>
      <c r="H33" s="23"/>
      <c r="I33" s="266" t="s">
        <v>22</v>
      </c>
      <c r="J33" s="267"/>
      <c r="K33" s="267"/>
      <c r="L33" s="267"/>
      <c r="M33" s="267"/>
      <c r="N33" s="24"/>
      <c r="O33" s="155"/>
    </row>
    <row r="34" spans="1:15" ht="15">
      <c r="A34" s="16"/>
      <c r="B34" s="20" t="s">
        <v>3</v>
      </c>
      <c r="C34" s="179">
        <f>'Data Entry'!C8</f>
        <v>700</v>
      </c>
      <c r="D34" s="18"/>
      <c r="F34" s="17"/>
      <c r="G34" s="214"/>
      <c r="H34" s="18"/>
      <c r="I34" s="19"/>
      <c r="J34" s="18"/>
      <c r="K34" s="19"/>
      <c r="L34" s="12"/>
      <c r="M34" s="12"/>
      <c r="N34" s="15"/>
      <c r="O34" s="155"/>
    </row>
    <row r="35" spans="1:15" ht="15">
      <c r="A35" s="16"/>
      <c r="B35" s="20" t="s">
        <v>4</v>
      </c>
      <c r="C35" s="25">
        <f>'Data Entry'!C9</f>
        <v>46</v>
      </c>
      <c r="D35" s="18"/>
      <c r="F35" s="17"/>
      <c r="G35" s="214"/>
      <c r="H35" s="26">
        <f>K35-C39*3</f>
        <v>1</v>
      </c>
      <c r="I35" s="26">
        <f>K35-C39*2</f>
        <v>1.5</v>
      </c>
      <c r="J35" s="26">
        <f>K35-C39</f>
        <v>2</v>
      </c>
      <c r="K35" s="27">
        <f>'Data Entry'!F15</f>
        <v>2.5</v>
      </c>
      <c r="L35" s="26">
        <f>K35+C39</f>
        <v>3</v>
      </c>
      <c r="M35" s="26">
        <f>K35+C39*2</f>
        <v>3.5</v>
      </c>
      <c r="N35" s="28">
        <f>K35+C39*3</f>
        <v>4</v>
      </c>
      <c r="O35" s="155"/>
    </row>
    <row r="36" spans="1:15" ht="15">
      <c r="A36" s="16"/>
      <c r="B36" s="20" t="s">
        <v>5</v>
      </c>
      <c r="C36" s="61">
        <f>(C34/((C35/100)*2200))</f>
        <v>0.691699604743083</v>
      </c>
      <c r="D36" s="18"/>
      <c r="F36" s="17"/>
      <c r="G36" s="29" t="s">
        <v>6</v>
      </c>
      <c r="H36" s="18"/>
      <c r="I36" s="18"/>
      <c r="J36" s="18"/>
      <c r="K36" s="12"/>
      <c r="L36" s="12"/>
      <c r="M36" s="12"/>
      <c r="N36" s="15"/>
      <c r="O36" s="155"/>
    </row>
    <row r="37" spans="1:19" ht="15">
      <c r="A37" s="16"/>
      <c r="B37" s="30" t="s">
        <v>20</v>
      </c>
      <c r="C37" s="31">
        <f>'Data Entry'!C11</f>
        <v>10</v>
      </c>
      <c r="D37" s="18"/>
      <c r="F37" s="32"/>
      <c r="G37" s="70" t="s">
        <v>67</v>
      </c>
      <c r="H37" s="217" t="s">
        <v>112</v>
      </c>
      <c r="I37" s="217"/>
      <c r="J37" s="217"/>
      <c r="K37" s="217"/>
      <c r="L37" s="217"/>
      <c r="M37" s="217"/>
      <c r="N37" s="218"/>
      <c r="O37" s="153"/>
      <c r="P37"/>
      <c r="Q37"/>
      <c r="R37"/>
      <c r="S37"/>
    </row>
    <row r="38" spans="1:19" ht="15.75" thickBot="1">
      <c r="A38" s="16"/>
      <c r="B38" s="33" t="s">
        <v>106</v>
      </c>
      <c r="C38" s="34"/>
      <c r="D38" s="18"/>
      <c r="F38" s="35" t="s">
        <v>9</v>
      </c>
      <c r="G38" s="73" t="s">
        <v>68</v>
      </c>
      <c r="H38" s="219" t="s">
        <v>23</v>
      </c>
      <c r="I38" s="219"/>
      <c r="J38" s="219"/>
      <c r="K38" s="219"/>
      <c r="L38" s="219"/>
      <c r="M38" s="219"/>
      <c r="N38" s="212"/>
      <c r="O38" s="153"/>
      <c r="P38"/>
      <c r="Q38"/>
      <c r="R38"/>
      <c r="S38"/>
    </row>
    <row r="39" spans="1:19" ht="15">
      <c r="A39" s="16"/>
      <c r="B39" s="37" t="s">
        <v>108</v>
      </c>
      <c r="C39" s="57">
        <f>'Data Entry'!C13</f>
        <v>0.5</v>
      </c>
      <c r="D39" s="18"/>
      <c r="F39" s="39" t="s">
        <v>11</v>
      </c>
      <c r="G39" s="75" t="s">
        <v>12</v>
      </c>
      <c r="H39" s="41">
        <f aca="true" t="shared" si="4" ref="H39:N39">H35/$C$11</f>
        <v>1.4457142857142857</v>
      </c>
      <c r="I39" s="41">
        <f t="shared" si="4"/>
        <v>2.1685714285714286</v>
      </c>
      <c r="J39" s="41">
        <f t="shared" si="4"/>
        <v>2.8914285714285715</v>
      </c>
      <c r="K39" s="41">
        <f t="shared" si="4"/>
        <v>3.6142857142857143</v>
      </c>
      <c r="L39" s="41">
        <f t="shared" si="4"/>
        <v>4.337142857142857</v>
      </c>
      <c r="M39" s="41">
        <f t="shared" si="4"/>
        <v>5.06</v>
      </c>
      <c r="N39" s="42">
        <f t="shared" si="4"/>
        <v>5.782857142857143</v>
      </c>
      <c r="O39" s="153"/>
      <c r="P39"/>
      <c r="Q39"/>
      <c r="R39"/>
      <c r="S39"/>
    </row>
    <row r="40" spans="1:19" ht="15">
      <c r="A40" s="16"/>
      <c r="B40" s="43" t="s">
        <v>28</v>
      </c>
      <c r="C40" s="34"/>
      <c r="D40" s="18"/>
      <c r="F40" s="44">
        <f>IF((F44-4*$C$12)&lt;0,0,(F44-4*$C$12))</f>
        <v>0</v>
      </c>
      <c r="G40" s="126">
        <f>G15+(-0.0032*($C$16)^2+0.6709*($C$16))+23.93</f>
        <v>41.17700000000001</v>
      </c>
      <c r="H40" s="135">
        <f aca="true" t="shared" si="5" ref="H40:N48">(H$10*$G40)-($C$11*($F40))</f>
        <v>41.17700000000001</v>
      </c>
      <c r="I40" s="135">
        <f t="shared" si="5"/>
        <v>61.76550000000001</v>
      </c>
      <c r="J40" s="135">
        <f t="shared" si="5"/>
        <v>82.35400000000001</v>
      </c>
      <c r="K40" s="135">
        <f t="shared" si="5"/>
        <v>102.94250000000002</v>
      </c>
      <c r="L40" s="135">
        <f t="shared" si="5"/>
        <v>123.53100000000002</v>
      </c>
      <c r="M40" s="135">
        <f t="shared" si="5"/>
        <v>144.11950000000002</v>
      </c>
      <c r="N40" s="136">
        <f t="shared" si="5"/>
        <v>164.70800000000003</v>
      </c>
      <c r="O40" s="153"/>
      <c r="P40"/>
      <c r="Q40"/>
      <c r="R40"/>
      <c r="S40"/>
    </row>
    <row r="41" spans="1:19" ht="15">
      <c r="A41" s="16"/>
      <c r="B41" s="37" t="s">
        <v>29</v>
      </c>
      <c r="C41" s="45">
        <f>'Data Entry'!C15</f>
        <v>30</v>
      </c>
      <c r="D41" s="18"/>
      <c r="F41" s="44">
        <f>IF((F45-4*$C$12)&lt;0,0,(F45-4*$C$12))</f>
        <v>10</v>
      </c>
      <c r="G41" s="126">
        <f aca="true" t="shared" si="6" ref="G41:G48">G16+(-0.0032*($C$16)^2+0.6709*($C$16))+23.93</f>
        <v>45.646</v>
      </c>
      <c r="H41" s="135">
        <f t="shared" si="5"/>
        <v>38.72900395256917</v>
      </c>
      <c r="I41" s="135">
        <f t="shared" si="5"/>
        <v>61.552003952569166</v>
      </c>
      <c r="J41" s="135">
        <f t="shared" si="5"/>
        <v>84.37500395256917</v>
      </c>
      <c r="K41" s="135">
        <f t="shared" si="5"/>
        <v>107.19800395256918</v>
      </c>
      <c r="L41" s="135">
        <f t="shared" si="5"/>
        <v>130.02100395256915</v>
      </c>
      <c r="M41" s="135">
        <f t="shared" si="5"/>
        <v>152.84400395256915</v>
      </c>
      <c r="N41" s="136">
        <f t="shared" si="5"/>
        <v>175.66700395256916</v>
      </c>
      <c r="O41" s="153"/>
      <c r="P41"/>
      <c r="Q41"/>
      <c r="R41"/>
      <c r="S41"/>
    </row>
    <row r="42" spans="1:19" ht="15">
      <c r="A42" s="16"/>
      <c r="B42" s="43" t="s">
        <v>30</v>
      </c>
      <c r="C42" s="46"/>
      <c r="D42" s="18"/>
      <c r="F42" s="44">
        <f>IF((F46-4*$C$12)&lt;0,0,(F46-4*$C$12))</f>
        <v>20</v>
      </c>
      <c r="G42" s="126">
        <f t="shared" si="6"/>
        <v>49.475</v>
      </c>
      <c r="H42" s="135">
        <f t="shared" si="5"/>
        <v>35.64100790513834</v>
      </c>
      <c r="I42" s="135">
        <f t="shared" si="5"/>
        <v>60.37850790513835</v>
      </c>
      <c r="J42" s="135">
        <f t="shared" si="5"/>
        <v>85.11600790513835</v>
      </c>
      <c r="K42" s="135">
        <f t="shared" si="5"/>
        <v>109.85350790513834</v>
      </c>
      <c r="L42" s="135">
        <f t="shared" si="5"/>
        <v>134.59100790513835</v>
      </c>
      <c r="M42" s="135">
        <f t="shared" si="5"/>
        <v>159.32850790513834</v>
      </c>
      <c r="N42" s="136">
        <f t="shared" si="5"/>
        <v>184.06600790513835</v>
      </c>
      <c r="O42" s="153"/>
      <c r="P42"/>
      <c r="Q42"/>
      <c r="R42"/>
      <c r="S42"/>
    </row>
    <row r="43" spans="1:19" ht="15.75" thickBot="1">
      <c r="A43" s="16"/>
      <c r="B43" s="17"/>
      <c r="C43" s="18"/>
      <c r="D43" s="18"/>
      <c r="F43" s="44">
        <f>IF((F47-4*$C$12)&lt;0,0,(F47-4*$C$12))</f>
        <v>30</v>
      </c>
      <c r="G43" s="126">
        <f t="shared" si="6"/>
        <v>52.664</v>
      </c>
      <c r="H43" s="135">
        <f t="shared" si="5"/>
        <v>31.91301185770751</v>
      </c>
      <c r="I43" s="135">
        <f t="shared" si="5"/>
        <v>58.24501185770752</v>
      </c>
      <c r="J43" s="135">
        <f t="shared" si="5"/>
        <v>84.5770118577075</v>
      </c>
      <c r="K43" s="135">
        <f t="shared" si="5"/>
        <v>110.9090118577075</v>
      </c>
      <c r="L43" s="135">
        <f t="shared" si="5"/>
        <v>137.24101185770752</v>
      </c>
      <c r="M43" s="135">
        <f t="shared" si="5"/>
        <v>163.5730118577075</v>
      </c>
      <c r="N43" s="136">
        <f t="shared" si="5"/>
        <v>189.9050118577075</v>
      </c>
      <c r="O43" s="153"/>
      <c r="P43"/>
      <c r="Q43"/>
      <c r="R43"/>
      <c r="S43"/>
    </row>
    <row r="44" spans="1:19" ht="15.75" thickBot="1">
      <c r="A44" s="16"/>
      <c r="B44" s="47"/>
      <c r="C44" s="48"/>
      <c r="E44" s="49" t="s">
        <v>13</v>
      </c>
      <c r="F44" s="50">
        <f>E19</f>
        <v>40</v>
      </c>
      <c r="G44" s="126">
        <f t="shared" si="6"/>
        <v>55.213</v>
      </c>
      <c r="H44" s="135">
        <f t="shared" si="5"/>
        <v>27.54501581027668</v>
      </c>
      <c r="I44" s="135">
        <f t="shared" si="5"/>
        <v>55.151515810276685</v>
      </c>
      <c r="J44" s="135">
        <f t="shared" si="5"/>
        <v>82.75801581027667</v>
      </c>
      <c r="K44" s="135">
        <f t="shared" si="5"/>
        <v>110.36451581027669</v>
      </c>
      <c r="L44" s="135">
        <f t="shared" si="5"/>
        <v>137.9710158102767</v>
      </c>
      <c r="M44" s="135">
        <f t="shared" si="5"/>
        <v>165.57751581027668</v>
      </c>
      <c r="N44" s="136">
        <f t="shared" si="5"/>
        <v>193.1840158102767</v>
      </c>
      <c r="O44" s="153"/>
      <c r="P44"/>
      <c r="Q44"/>
      <c r="R44"/>
      <c r="S44"/>
    </row>
    <row r="45" spans="1:19" ht="15">
      <c r="A45" s="16"/>
      <c r="B45" s="17"/>
      <c r="C45" s="18"/>
      <c r="D45" s="18"/>
      <c r="F45" s="51">
        <f>F44+C37</f>
        <v>50</v>
      </c>
      <c r="G45" s="126">
        <f t="shared" si="6"/>
        <v>57.12200000000001</v>
      </c>
      <c r="H45" s="135">
        <f t="shared" si="5"/>
        <v>22.53701976284586</v>
      </c>
      <c r="I45" s="135">
        <f t="shared" si="5"/>
        <v>51.09801976284586</v>
      </c>
      <c r="J45" s="135">
        <f t="shared" si="5"/>
        <v>79.65901976284587</v>
      </c>
      <c r="K45" s="135">
        <f t="shared" si="5"/>
        <v>108.22001976284585</v>
      </c>
      <c r="L45" s="135">
        <f t="shared" si="5"/>
        <v>136.78101976284586</v>
      </c>
      <c r="M45" s="135">
        <f t="shared" si="5"/>
        <v>165.34201976284587</v>
      </c>
      <c r="N45" s="136">
        <f t="shared" si="5"/>
        <v>193.90301976284587</v>
      </c>
      <c r="O45" s="153"/>
      <c r="P45"/>
      <c r="Q45"/>
      <c r="R45"/>
      <c r="S45"/>
    </row>
    <row r="46" spans="1:19" ht="15">
      <c r="A46" s="16"/>
      <c r="B46" s="17"/>
      <c r="C46" s="52"/>
      <c r="D46" s="18"/>
      <c r="F46" s="51">
        <f>F44+2*C37</f>
        <v>60</v>
      </c>
      <c r="G46" s="126">
        <f t="shared" si="6"/>
        <v>58.391000000000005</v>
      </c>
      <c r="H46" s="135">
        <f t="shared" si="5"/>
        <v>16.88902371541502</v>
      </c>
      <c r="I46" s="135">
        <f t="shared" si="5"/>
        <v>46.08452371541502</v>
      </c>
      <c r="J46" s="135">
        <f t="shared" si="5"/>
        <v>75.28002371541503</v>
      </c>
      <c r="K46" s="135">
        <f t="shared" si="5"/>
        <v>104.47552371541504</v>
      </c>
      <c r="L46" s="135">
        <f t="shared" si="5"/>
        <v>133.671023715415</v>
      </c>
      <c r="M46" s="135">
        <f t="shared" si="5"/>
        <v>162.86652371541504</v>
      </c>
      <c r="N46" s="136">
        <f t="shared" si="5"/>
        <v>192.06202371541502</v>
      </c>
      <c r="O46" s="153"/>
      <c r="P46"/>
      <c r="Q46"/>
      <c r="R46"/>
      <c r="S46"/>
    </row>
    <row r="47" spans="1:19" ht="15">
      <c r="A47" s="16"/>
      <c r="B47" s="17"/>
      <c r="C47" s="18"/>
      <c r="D47" s="18"/>
      <c r="F47" s="51">
        <f>F44+3*C37</f>
        <v>70</v>
      </c>
      <c r="G47" s="126">
        <f t="shared" si="6"/>
        <v>59.02</v>
      </c>
      <c r="H47" s="135">
        <f t="shared" si="5"/>
        <v>10.60102766798419</v>
      </c>
      <c r="I47" s="135">
        <f t="shared" si="5"/>
        <v>40.11102766798419</v>
      </c>
      <c r="J47" s="135">
        <f t="shared" si="5"/>
        <v>69.6210276679842</v>
      </c>
      <c r="K47" s="135">
        <f t="shared" si="5"/>
        <v>99.1310276679842</v>
      </c>
      <c r="L47" s="135">
        <f t="shared" si="5"/>
        <v>128.6410276679842</v>
      </c>
      <c r="M47" s="135">
        <f t="shared" si="5"/>
        <v>158.1510276679842</v>
      </c>
      <c r="N47" s="136">
        <f t="shared" si="5"/>
        <v>187.6610276679842</v>
      </c>
      <c r="O47" s="153"/>
      <c r="P47"/>
      <c r="Q47"/>
      <c r="R47"/>
      <c r="S47"/>
    </row>
    <row r="48" spans="1:19" ht="15">
      <c r="A48" s="16"/>
      <c r="B48" s="17"/>
      <c r="C48" s="18"/>
      <c r="D48" s="18"/>
      <c r="F48" s="51">
        <f>F44+4*C37</f>
        <v>80</v>
      </c>
      <c r="G48" s="126">
        <f t="shared" si="6"/>
        <v>59.00900000000001</v>
      </c>
      <c r="H48" s="135">
        <f t="shared" si="5"/>
        <v>3.673031620553367</v>
      </c>
      <c r="I48" s="135">
        <f t="shared" si="5"/>
        <v>33.17753162055337</v>
      </c>
      <c r="J48" s="135">
        <f t="shared" si="5"/>
        <v>62.682031620553374</v>
      </c>
      <c r="K48" s="135">
        <f t="shared" si="5"/>
        <v>92.18653162055337</v>
      </c>
      <c r="L48" s="135">
        <f t="shared" si="5"/>
        <v>121.69103162055337</v>
      </c>
      <c r="M48" s="135">
        <f t="shared" si="5"/>
        <v>151.19553162055337</v>
      </c>
      <c r="N48" s="136">
        <f t="shared" si="5"/>
        <v>180.70003162055337</v>
      </c>
      <c r="O48" s="153"/>
      <c r="P48"/>
      <c r="Q48"/>
      <c r="R48"/>
      <c r="S48"/>
    </row>
    <row r="49" spans="1:19" ht="13.5" customHeight="1">
      <c r="A49" s="16"/>
      <c r="B49" s="17"/>
      <c r="C49" s="18"/>
      <c r="D49" s="18"/>
      <c r="F49" s="180" t="s">
        <v>55</v>
      </c>
      <c r="G49" s="173"/>
      <c r="H49" s="173"/>
      <c r="I49" s="173"/>
      <c r="J49" s="173"/>
      <c r="K49" s="173"/>
      <c r="L49" s="173"/>
      <c r="M49" s="173"/>
      <c r="N49" s="174"/>
      <c r="O49" s="153"/>
      <c r="P49"/>
      <c r="Q49"/>
      <c r="R49"/>
      <c r="S49"/>
    </row>
    <row r="50" spans="1:19" ht="9.75" customHeight="1">
      <c r="A50" s="16"/>
      <c r="B50" s="17"/>
      <c r="C50" s="18"/>
      <c r="D50" s="18"/>
      <c r="F50" s="183" t="s">
        <v>16</v>
      </c>
      <c r="G50" s="175"/>
      <c r="H50" s="175"/>
      <c r="I50" s="175"/>
      <c r="J50" s="175"/>
      <c r="K50" s="175"/>
      <c r="L50" s="175"/>
      <c r="M50" s="175"/>
      <c r="N50" s="176"/>
      <c r="O50" s="153"/>
      <c r="P50"/>
      <c r="Q50"/>
      <c r="R50"/>
      <c r="S50"/>
    </row>
    <row r="51" spans="1:19" ht="9.75" customHeight="1">
      <c r="A51" s="16"/>
      <c r="B51" s="17"/>
      <c r="C51" s="18"/>
      <c r="D51" s="18"/>
      <c r="F51" s="183" t="s">
        <v>101</v>
      </c>
      <c r="G51" s="175"/>
      <c r="H51" s="175"/>
      <c r="I51" s="175"/>
      <c r="J51" s="175"/>
      <c r="K51" s="175"/>
      <c r="L51" s="175"/>
      <c r="M51" s="175"/>
      <c r="N51" s="176"/>
      <c r="O51" s="153"/>
      <c r="P51"/>
      <c r="Q51"/>
      <c r="R51"/>
      <c r="S51"/>
    </row>
    <row r="52" spans="1:19" ht="11.25" customHeight="1">
      <c r="A52" s="16"/>
      <c r="B52" s="17"/>
      <c r="C52" s="18"/>
      <c r="D52" s="18"/>
      <c r="F52" s="79" t="s">
        <v>105</v>
      </c>
      <c r="G52" s="80"/>
      <c r="H52" s="80"/>
      <c r="I52" s="80"/>
      <c r="J52" s="80"/>
      <c r="K52" s="130"/>
      <c r="L52" s="130"/>
      <c r="M52" s="130"/>
      <c r="N52" s="166"/>
      <c r="O52" s="153"/>
      <c r="P52"/>
      <c r="Q52"/>
      <c r="R52"/>
      <c r="S52"/>
    </row>
    <row r="53" spans="1:19" ht="12" customHeight="1" thickBot="1">
      <c r="A53" s="16"/>
      <c r="B53" s="17"/>
      <c r="C53" s="18"/>
      <c r="D53" s="18"/>
      <c r="F53" s="186" t="s">
        <v>38</v>
      </c>
      <c r="G53" s="177"/>
      <c r="H53" s="178"/>
      <c r="I53" s="178"/>
      <c r="J53" s="178"/>
      <c r="K53" s="170"/>
      <c r="L53" s="170"/>
      <c r="M53" s="170"/>
      <c r="N53" s="171"/>
      <c r="O53" s="153"/>
      <c r="P53"/>
      <c r="Q53"/>
      <c r="R53"/>
      <c r="S53"/>
    </row>
    <row r="54" spans="1:19" ht="11.25" customHeight="1">
      <c r="A54" s="16"/>
      <c r="B54" s="17"/>
      <c r="C54" s="18"/>
      <c r="D54" s="18"/>
      <c r="E54" s="53"/>
      <c r="F54" s="53"/>
      <c r="G54" s="53"/>
      <c r="H54" s="53"/>
      <c r="I54" s="53"/>
      <c r="J54" s="53"/>
      <c r="K54" s="12"/>
      <c r="L54" s="12"/>
      <c r="M54" s="12"/>
      <c r="N54" s="15"/>
      <c r="O54" s="153"/>
      <c r="P54"/>
      <c r="Q54"/>
      <c r="R54"/>
      <c r="S54"/>
    </row>
    <row r="55" spans="2:19" ht="11.25" customHeight="1" thickBot="1">
      <c r="B55" s="215"/>
      <c r="C55" s="216"/>
      <c r="D55" s="216"/>
      <c r="E55" s="216"/>
      <c r="F55" s="216"/>
      <c r="G55" s="216"/>
      <c r="H55" s="216"/>
      <c r="I55" s="216"/>
      <c r="J55" s="216"/>
      <c r="K55" s="55"/>
      <c r="L55" s="55"/>
      <c r="M55" s="55"/>
      <c r="N55" s="56"/>
      <c r="O55" s="153"/>
      <c r="P55"/>
      <c r="Q55"/>
      <c r="R55"/>
      <c r="S55"/>
    </row>
    <row r="56" spans="15:19" ht="12.75">
      <c r="O56" s="153"/>
      <c r="P56"/>
      <c r="Q56"/>
      <c r="R56"/>
      <c r="S56"/>
    </row>
  </sheetData>
  <sheetProtection password="CE5A" sheet="1" objects="1" scenarios="1"/>
  <mergeCells count="22">
    <mergeCell ref="E5:G5"/>
    <mergeCell ref="I8:M8"/>
    <mergeCell ref="H12:N12"/>
    <mergeCell ref="B2:N2"/>
    <mergeCell ref="B3:N3"/>
    <mergeCell ref="B7:C7"/>
    <mergeCell ref="H5:K5"/>
    <mergeCell ref="L5:N5"/>
    <mergeCell ref="B30:J30"/>
    <mergeCell ref="E25:N25"/>
    <mergeCell ref="E26:N26"/>
    <mergeCell ref="H13:N13"/>
    <mergeCell ref="H38:N38"/>
    <mergeCell ref="B55:J55"/>
    <mergeCell ref="G8:G10"/>
    <mergeCell ref="B32:C32"/>
    <mergeCell ref="G33:G35"/>
    <mergeCell ref="I33:M33"/>
    <mergeCell ref="H37:N37"/>
    <mergeCell ref="E24:N24"/>
    <mergeCell ref="E27:N27"/>
    <mergeCell ref="E28:N28"/>
  </mergeCells>
  <conditionalFormatting sqref="H40:H48">
    <cfRule type="cellIs" priority="1" dxfId="0" operator="between" stopIfTrue="1">
      <formula>MAX($H$40:$H$48)-0.5</formula>
      <formula>MAX($H$40:$H$48)+0.5</formula>
    </cfRule>
    <cfRule type="cellIs" priority="2" dxfId="1" operator="between" stopIfTrue="1">
      <formula>MAX($H$40:$H$48)-0.5</formula>
      <formula>MAX($H$40:$H$48)-1.5</formula>
    </cfRule>
    <cfRule type="cellIs" priority="3" dxfId="1" operator="between" stopIfTrue="1">
      <formula>MAX($H$40:$H$48+0.5)</formula>
      <formula>MAX($H$40:$H$48)+1.5</formula>
    </cfRule>
  </conditionalFormatting>
  <conditionalFormatting sqref="I40:I48">
    <cfRule type="cellIs" priority="4" dxfId="0" operator="between" stopIfTrue="1">
      <formula>MAX($I$40:$I$55)-0.5</formula>
      <formula>MAX($I$40:$I$55)+0.5</formula>
    </cfRule>
    <cfRule type="cellIs" priority="5" dxfId="1" operator="between" stopIfTrue="1">
      <formula>MAX($I$40:$I$55)-0.5</formula>
      <formula>MAX($I$40:$I$55)-1.5</formula>
    </cfRule>
    <cfRule type="cellIs" priority="6" dxfId="1" operator="between" stopIfTrue="1">
      <formula>MAX($I$40:$I$55)+0.5</formula>
      <formula>MAX($I$40:$I$55)+1.5</formula>
    </cfRule>
  </conditionalFormatting>
  <conditionalFormatting sqref="J40:J48">
    <cfRule type="cellIs" priority="7" dxfId="0" operator="between" stopIfTrue="1">
      <formula>MAX($J$40:$J$55)-0.5</formula>
      <formula>MAX($J$40:$J$55)+0.5</formula>
    </cfRule>
    <cfRule type="cellIs" priority="8" dxfId="1" operator="between" stopIfTrue="1">
      <formula>MAX($J$40:$J$55)-0.5</formula>
      <formula>MAX($J$40:$J$55)-1.5</formula>
    </cfRule>
    <cfRule type="cellIs" priority="9" dxfId="1" operator="between" stopIfTrue="1">
      <formula>MAX($J$40:$J$55)+0.5</formula>
      <formula>MAX($J$40:$J$55)+1.5</formula>
    </cfRule>
  </conditionalFormatting>
  <conditionalFormatting sqref="K40:K48">
    <cfRule type="cellIs" priority="10" dxfId="0" operator="between" stopIfTrue="1">
      <formula>MAX($K$40:$K$55)-0.5</formula>
      <formula>MAX($K$40:$K$55)+0.5</formula>
    </cfRule>
    <cfRule type="cellIs" priority="11" dxfId="1" operator="between" stopIfTrue="1">
      <formula>MAX($K$40:$K$55)-0.5</formula>
      <formula>MAX($K$40:$K$55)-1.5</formula>
    </cfRule>
    <cfRule type="cellIs" priority="12" dxfId="1" operator="between" stopIfTrue="1">
      <formula>MAX($K$40:$K$55)+0.5</formula>
      <formula>MAX($K$40:$K$55)+1.5</formula>
    </cfRule>
  </conditionalFormatting>
  <conditionalFormatting sqref="L40:L48">
    <cfRule type="cellIs" priority="13" dxfId="0" operator="between" stopIfTrue="1">
      <formula>MAX($L$40:$L$55)-0.5</formula>
      <formula>MAX($L$40:$L$55)+0.5</formula>
    </cfRule>
    <cfRule type="cellIs" priority="14" dxfId="1" operator="between" stopIfTrue="1">
      <formula>MAX($L$40:$L$55)-0.5</formula>
      <formula>MAX($L$40:$L$55)-1.5</formula>
    </cfRule>
    <cfRule type="cellIs" priority="15" dxfId="1" operator="between" stopIfTrue="1">
      <formula>MAX($L$40:$L$55)+0.5</formula>
      <formula>MAX($L$40:$L$55)+1.5</formula>
    </cfRule>
  </conditionalFormatting>
  <conditionalFormatting sqref="M40:M48">
    <cfRule type="cellIs" priority="16" dxfId="0" operator="between" stopIfTrue="1">
      <formula>MAX($M$40:$M$55)-0.5</formula>
      <formula>MAX($M$40:$M$55)+0.5</formula>
    </cfRule>
    <cfRule type="cellIs" priority="17" dxfId="1" operator="between" stopIfTrue="1">
      <formula>MAX($M$40:$M$55)-0.5</formula>
      <formula>MAX($M$40:$M$55)-1.5</formula>
    </cfRule>
    <cfRule type="cellIs" priority="18" dxfId="1" operator="between" stopIfTrue="1">
      <formula>MAX($M$40:$M$55)+0.5</formula>
      <formula>MAX($M$40:$M$55)+1.5</formula>
    </cfRule>
  </conditionalFormatting>
  <conditionalFormatting sqref="N40:N48">
    <cfRule type="cellIs" priority="19" dxfId="0" operator="between" stopIfTrue="1">
      <formula>MAX($N$40:$N$55)-0.5</formula>
      <formula>MAX($N$40:$N$55)+0.5</formula>
    </cfRule>
    <cfRule type="cellIs" priority="20" dxfId="1" operator="between" stopIfTrue="1">
      <formula>MAX($N$40:$N$55)-0.5</formula>
      <formula>MAX($N$40:$N$55)-1.5</formula>
    </cfRule>
    <cfRule type="cellIs" priority="21" dxfId="1" operator="between" stopIfTrue="1">
      <formula>MAX($N$40:$N$55)+0.5</formula>
      <formula>MAX($N$40:$N$55)+1.5</formula>
    </cfRule>
  </conditionalFormatting>
  <conditionalFormatting sqref="I15:I23">
    <cfRule type="cellIs" priority="22" dxfId="0" operator="between" stopIfTrue="1">
      <formula>MAX($I$15:$I$23)-0.5</formula>
      <formula>MAX($I$15:$I$23)+0.5</formula>
    </cfRule>
    <cfRule type="cellIs" priority="23" dxfId="1" operator="between" stopIfTrue="1">
      <formula>MAX($I$15:$I$23)-0.5</formula>
      <formula>MAX($I$15:$I$23)-1.5</formula>
    </cfRule>
    <cfRule type="cellIs" priority="24" dxfId="1" operator="between" stopIfTrue="1">
      <formula>MAX($I$15:$I$23)+0.5</formula>
      <formula>MAX($I$15:$I$23)+1.5</formula>
    </cfRule>
  </conditionalFormatting>
  <conditionalFormatting sqref="J15:J23">
    <cfRule type="cellIs" priority="25" dxfId="0" operator="between" stopIfTrue="1">
      <formula>MAX($J$15:$J$23)-0.5</formula>
      <formula>MAX($J$15:$J$23)+0.5</formula>
    </cfRule>
    <cfRule type="cellIs" priority="26" dxfId="1" operator="between" stopIfTrue="1">
      <formula>MAX($J$15:$J$23)-0.5</formula>
      <formula>MAX($J$15:$J$23)-1.5</formula>
    </cfRule>
    <cfRule type="cellIs" priority="27" dxfId="1" operator="between" stopIfTrue="1">
      <formula>MAX($J$15:$J$23)+0.5</formula>
      <formula>MAX($J$15:$J$23)+1.5</formula>
    </cfRule>
  </conditionalFormatting>
  <conditionalFormatting sqref="K15:K23">
    <cfRule type="cellIs" priority="28" dxfId="0" operator="between" stopIfTrue="1">
      <formula>MAX($K$15:$K$23)-0.5</formula>
      <formula>MAX($K$15:$K$23)+0.5</formula>
    </cfRule>
    <cfRule type="cellIs" priority="29" dxfId="1" operator="between" stopIfTrue="1">
      <formula>MAX($K$15:$K$23)-0.5</formula>
      <formula>MAX($K$15:$K$23)-1.5</formula>
    </cfRule>
    <cfRule type="cellIs" priority="30" dxfId="1" operator="between" stopIfTrue="1">
      <formula>MAX($K$15:$K$23)+0.5</formula>
      <formula>MAX($K$15:$K$23)+1.5</formula>
    </cfRule>
  </conditionalFormatting>
  <conditionalFormatting sqref="L15:L23">
    <cfRule type="cellIs" priority="31" dxfId="0" operator="between" stopIfTrue="1">
      <formula>MAX($L$15:$L$23)-0.5</formula>
      <formula>MAX($L$15:$L$23)+0.5</formula>
    </cfRule>
    <cfRule type="cellIs" priority="32" dxfId="1" operator="between" stopIfTrue="1">
      <formula>MAX($L$15:$L$23)-0.5</formula>
      <formula>MAX($L$15:$L$23)-1.5</formula>
    </cfRule>
    <cfRule type="cellIs" priority="33" dxfId="1" operator="between" stopIfTrue="1">
      <formula>MAX($L$15:$L$23+0.5)</formula>
      <formula>MAX($L$15:$L$23)+1.5</formula>
    </cfRule>
  </conditionalFormatting>
  <conditionalFormatting sqref="M15:M23">
    <cfRule type="cellIs" priority="34" dxfId="0" operator="between" stopIfTrue="1">
      <formula>MAX($M$15:$M$23)-0.5</formula>
      <formula>":$M$23)+0.5"</formula>
    </cfRule>
    <cfRule type="cellIs" priority="35" dxfId="1" operator="between" stopIfTrue="1">
      <formula>MAX($M$15:$M$23)-0.5</formula>
      <formula>MAX($M$15:$M$23)-1.5</formula>
    </cfRule>
    <cfRule type="cellIs" priority="36" dxfId="1" operator="between" stopIfTrue="1">
      <formula>MAX($M$15:$M$23)+0.5</formula>
      <formula>MAX($M$15:$M$23)+1.5</formula>
    </cfRule>
  </conditionalFormatting>
  <conditionalFormatting sqref="N15:N23">
    <cfRule type="cellIs" priority="37" dxfId="0" operator="between" stopIfTrue="1">
      <formula>MAX($N$15:$N$23)-0.5</formula>
      <formula>MAX($N$15:$N$23)+0.5</formula>
    </cfRule>
    <cfRule type="cellIs" priority="38" dxfId="1" operator="between" stopIfTrue="1">
      <formula>MAX($N$15:$N$23)-0.5</formula>
      <formula>MAX($N$15:$N$23)-1.5</formula>
    </cfRule>
    <cfRule type="cellIs" priority="39" dxfId="1" operator="between" stopIfTrue="1">
      <formula>MAX($N$15:$N$23)+0.5</formula>
      <formula>MAX($N$15:$N$23)+1.5</formula>
    </cfRule>
  </conditionalFormatting>
  <conditionalFormatting sqref="H15:H23">
    <cfRule type="cellIs" priority="40" dxfId="0" operator="between" stopIfTrue="1">
      <formula>MAX($H$15:$H$23)-0.5</formula>
      <formula>MAX($H$15:$H$23)+0.5</formula>
    </cfRule>
    <cfRule type="cellIs" priority="41" dxfId="1" operator="between" stopIfTrue="1">
      <formula>MAX($H$15:$H$23)-1.5</formula>
      <formula>MAX($H$15:$H$23)-0.5</formula>
    </cfRule>
    <cfRule type="cellIs" priority="42" dxfId="1" operator="between" stopIfTrue="1">
      <formula>MAX($H$15:$H$23)+0.5</formula>
      <formula>MAX($H$15:$H$23)+1.5</formula>
    </cfRule>
  </conditionalFormatting>
  <hyperlinks>
    <hyperlink ref="E5:G5" location="'Barley (Arid) MR'!A1" display="Go to Marginal Revenue Chart"/>
    <hyperlink ref="H5:J5" location="'Barley (Arid) Fertilizer'!A1" display="Go to Fertilizer Rate as variable"/>
    <hyperlink ref="L5" location="'Data Entry'!A1" display="Return to Data Entry"/>
    <hyperlink ref="G33" location="'Wheat crop price'!D47" display="Go to Total Net Return"/>
    <hyperlink ref="G33:G35" location="'Barley (Arid) Crop'!D1" display="Return to Net Return"/>
    <hyperlink ref="G8" location="'Wheat crop price'!D47" display="Go to Total Net Return"/>
    <hyperlink ref="G8:G10" location="'Barley (Arid) Crop'!D53" display="Go to Total Net Return Below"/>
  </hyperlink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8"/>
  <sheetViews>
    <sheetView showGridLines="0" workbookViewId="0" topLeftCell="A1">
      <selection activeCell="F18" sqref="F18"/>
    </sheetView>
  </sheetViews>
  <sheetFormatPr defaultColWidth="9.140625" defaultRowHeight="12.75"/>
  <cols>
    <col min="1" max="1" width="1.57421875" style="10" customWidth="1"/>
    <col min="2" max="2" width="16.57421875" style="10" customWidth="1"/>
    <col min="3" max="6" width="9.140625" style="10" customWidth="1"/>
    <col min="7" max="7" width="13.57421875" style="10" customWidth="1"/>
    <col min="8" max="14" width="9.140625" style="10" customWidth="1"/>
    <col min="15" max="15" width="13.8515625" style="154" customWidth="1"/>
    <col min="16" max="16" width="9.8515625" style="10" customWidth="1"/>
    <col min="17" max="16384" width="9.140625" style="10" customWidth="1"/>
  </cols>
  <sheetData>
    <row r="1" spans="2:10" ht="6" customHeight="1" thickBot="1">
      <c r="B1" s="11"/>
      <c r="C1" s="11"/>
      <c r="D1" s="11"/>
      <c r="E1" s="11"/>
      <c r="F1" s="11"/>
      <c r="G1" s="11"/>
      <c r="H1" s="11"/>
      <c r="I1" s="11"/>
      <c r="J1" s="11"/>
    </row>
    <row r="2" spans="1:14" ht="20.25">
      <c r="A2" s="11"/>
      <c r="B2" s="254" t="s">
        <v>40</v>
      </c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6"/>
    </row>
    <row r="3" spans="1:14" ht="20.25">
      <c r="A3" s="11"/>
      <c r="B3" s="257" t="s">
        <v>65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9"/>
    </row>
    <row r="4" spans="1:17" ht="6.75" customHeight="1">
      <c r="A4" s="11"/>
      <c r="B4" s="13"/>
      <c r="C4" s="14"/>
      <c r="D4" s="14"/>
      <c r="E4" s="14"/>
      <c r="F4" s="14"/>
      <c r="G4" s="14"/>
      <c r="H4" s="14"/>
      <c r="I4" s="14"/>
      <c r="J4" s="14"/>
      <c r="K4" s="12"/>
      <c r="L4" s="12"/>
      <c r="M4" s="12"/>
      <c r="N4" s="15"/>
      <c r="O4" s="159"/>
      <c r="P4" s="158"/>
      <c r="Q4" s="158"/>
    </row>
    <row r="5" spans="2:17" ht="12.75">
      <c r="B5" s="198"/>
      <c r="C5" s="199"/>
      <c r="D5" s="199"/>
      <c r="E5" s="253" t="s">
        <v>110</v>
      </c>
      <c r="F5" s="253"/>
      <c r="G5" s="253"/>
      <c r="H5" s="253" t="s">
        <v>119</v>
      </c>
      <c r="I5" s="283"/>
      <c r="J5" s="283"/>
      <c r="K5" s="283"/>
      <c r="L5" s="261" t="s">
        <v>96</v>
      </c>
      <c r="M5" s="260"/>
      <c r="N5" s="262"/>
      <c r="P5" s="158"/>
      <c r="Q5" s="158"/>
    </row>
    <row r="6" spans="1:17" ht="4.5" customHeight="1" thickBot="1">
      <c r="A6" s="16"/>
      <c r="B6" s="17"/>
      <c r="C6" s="18"/>
      <c r="D6" s="18"/>
      <c r="E6" s="18"/>
      <c r="F6" s="18"/>
      <c r="G6" s="18"/>
      <c r="H6" s="18"/>
      <c r="I6" s="18"/>
      <c r="J6" s="18"/>
      <c r="K6" s="12"/>
      <c r="L6" s="12"/>
      <c r="M6" s="12"/>
      <c r="N6" s="15"/>
      <c r="O6" s="159"/>
      <c r="P6" s="158"/>
      <c r="Q6" s="158"/>
    </row>
    <row r="7" spans="1:17" ht="15.75" customHeight="1" thickBot="1">
      <c r="A7" s="16"/>
      <c r="B7" s="234" t="s">
        <v>39</v>
      </c>
      <c r="C7" s="235"/>
      <c r="D7" s="18"/>
      <c r="E7" s="18"/>
      <c r="F7" s="18"/>
      <c r="G7" s="18"/>
      <c r="H7" s="18"/>
      <c r="I7" s="19"/>
      <c r="J7" s="18"/>
      <c r="K7" s="19"/>
      <c r="L7" s="12"/>
      <c r="M7" s="12"/>
      <c r="N7" s="15"/>
      <c r="O7" s="159"/>
      <c r="P7" s="158"/>
      <c r="Q7" s="158"/>
    </row>
    <row r="8" spans="1:15" ht="15" customHeight="1">
      <c r="A8" s="16"/>
      <c r="B8" s="87" t="s">
        <v>1</v>
      </c>
      <c r="C8" s="21" t="str">
        <f>'Data Entry'!C7</f>
        <v>UREA</v>
      </c>
      <c r="D8" s="18"/>
      <c r="E8" s="22"/>
      <c r="F8" s="23"/>
      <c r="G8" s="213" t="s">
        <v>100</v>
      </c>
      <c r="H8" s="23"/>
      <c r="I8" s="266" t="s">
        <v>26</v>
      </c>
      <c r="J8" s="267"/>
      <c r="K8" s="267"/>
      <c r="L8" s="267"/>
      <c r="M8" s="267"/>
      <c r="N8" s="24"/>
      <c r="O8" s="155"/>
    </row>
    <row r="9" spans="1:15" ht="15">
      <c r="A9" s="16"/>
      <c r="B9" s="20" t="s">
        <v>3</v>
      </c>
      <c r="C9" s="59">
        <f>'Data Entry'!C8</f>
        <v>700</v>
      </c>
      <c r="D9" s="18"/>
      <c r="E9" s="17"/>
      <c r="F9" s="18"/>
      <c r="G9" s="214"/>
      <c r="H9" s="18"/>
      <c r="I9" s="19"/>
      <c r="J9" s="18"/>
      <c r="K9" s="19"/>
      <c r="L9" s="12"/>
      <c r="M9" s="12"/>
      <c r="N9" s="15"/>
      <c r="O9" s="155"/>
    </row>
    <row r="10" spans="1:15" ht="15">
      <c r="A10" s="16"/>
      <c r="B10" s="20" t="s">
        <v>4</v>
      </c>
      <c r="C10" s="25">
        <f>'Data Entry'!C9</f>
        <v>46</v>
      </c>
      <c r="D10" s="18"/>
      <c r="E10" s="17"/>
      <c r="F10" s="18"/>
      <c r="G10" s="214"/>
      <c r="H10" s="26">
        <f>K10-C14*3</f>
        <v>7.5</v>
      </c>
      <c r="I10" s="26">
        <f>K10-C14*2</f>
        <v>8</v>
      </c>
      <c r="J10" s="26">
        <f>K10-C14</f>
        <v>8.5</v>
      </c>
      <c r="K10" s="27">
        <f>'Data Entry'!F16</f>
        <v>9</v>
      </c>
      <c r="L10" s="26">
        <f>K10+C14</f>
        <v>9.5</v>
      </c>
      <c r="M10" s="26">
        <f>K10+C14*2</f>
        <v>10</v>
      </c>
      <c r="N10" s="28">
        <f>K10+C14*3</f>
        <v>10.5</v>
      </c>
      <c r="O10" s="155"/>
    </row>
    <row r="11" spans="1:19" ht="15">
      <c r="A11" s="16"/>
      <c r="B11" s="20" t="s">
        <v>5</v>
      </c>
      <c r="C11" s="61">
        <f>(C9/((C10/100)*2200))</f>
        <v>0.691699604743083</v>
      </c>
      <c r="D11" s="18"/>
      <c r="E11" s="17"/>
      <c r="F11" s="18"/>
      <c r="G11" s="29" t="s">
        <v>6</v>
      </c>
      <c r="H11" s="18"/>
      <c r="I11" s="18"/>
      <c r="J11" s="18"/>
      <c r="K11" s="12"/>
      <c r="L11" s="12"/>
      <c r="M11" s="12"/>
      <c r="N11" s="15"/>
      <c r="O11" s="153"/>
      <c r="P11"/>
      <c r="Q11"/>
      <c r="R11"/>
      <c r="S11"/>
    </row>
    <row r="12" spans="1:19" ht="15">
      <c r="A12" s="16"/>
      <c r="B12" s="30" t="s">
        <v>20</v>
      </c>
      <c r="C12" s="31">
        <f>'Data Entry'!C11</f>
        <v>10</v>
      </c>
      <c r="D12" s="18"/>
      <c r="E12" s="32"/>
      <c r="F12" s="29" t="s">
        <v>67</v>
      </c>
      <c r="G12" s="29" t="s">
        <v>7</v>
      </c>
      <c r="H12" s="274" t="s">
        <v>8</v>
      </c>
      <c r="I12" s="274"/>
      <c r="J12" s="274"/>
      <c r="K12" s="274"/>
      <c r="L12" s="274"/>
      <c r="M12" s="274"/>
      <c r="N12" s="275"/>
      <c r="O12" s="153"/>
      <c r="P12"/>
      <c r="Q12"/>
      <c r="R12"/>
      <c r="S12"/>
    </row>
    <row r="13" spans="1:19" ht="15.75" thickBot="1">
      <c r="A13" s="16"/>
      <c r="B13" s="33" t="s">
        <v>106</v>
      </c>
      <c r="C13" s="34"/>
      <c r="D13" s="18"/>
      <c r="E13" s="35" t="s">
        <v>9</v>
      </c>
      <c r="F13" s="36" t="s">
        <v>68</v>
      </c>
      <c r="G13" s="36" t="s">
        <v>10</v>
      </c>
      <c r="H13" s="219" t="s">
        <v>15</v>
      </c>
      <c r="I13" s="219"/>
      <c r="J13" s="219"/>
      <c r="K13" s="219"/>
      <c r="L13" s="219"/>
      <c r="M13" s="219"/>
      <c r="N13" s="212"/>
      <c r="O13" s="165"/>
      <c r="P13"/>
      <c r="Q13"/>
      <c r="R13"/>
      <c r="S13"/>
    </row>
    <row r="14" spans="1:19" ht="15">
      <c r="A14" s="16"/>
      <c r="B14" s="37" t="s">
        <v>108</v>
      </c>
      <c r="C14" s="38">
        <f>'Data Entry'!C13</f>
        <v>0.5</v>
      </c>
      <c r="D14" s="18"/>
      <c r="E14" s="39" t="s">
        <v>11</v>
      </c>
      <c r="F14" s="40" t="s">
        <v>12</v>
      </c>
      <c r="G14" s="40" t="s">
        <v>12</v>
      </c>
      <c r="H14" s="41">
        <f>H10/$C$11</f>
        <v>10.842857142857143</v>
      </c>
      <c r="I14" s="41">
        <f aca="true" t="shared" si="0" ref="I14:N14">I10/$C$11</f>
        <v>11.565714285714286</v>
      </c>
      <c r="J14" s="41">
        <f t="shared" si="0"/>
        <v>12.288571428571428</v>
      </c>
      <c r="K14" s="41">
        <f>K10/$C$11</f>
        <v>13.01142857142857</v>
      </c>
      <c r="L14" s="41">
        <f t="shared" si="0"/>
        <v>13.734285714285715</v>
      </c>
      <c r="M14" s="41">
        <f t="shared" si="0"/>
        <v>14.457142857142857</v>
      </c>
      <c r="N14" s="42">
        <f t="shared" si="0"/>
        <v>15.18</v>
      </c>
      <c r="O14" s="153"/>
      <c r="P14"/>
      <c r="Q14"/>
      <c r="R14"/>
      <c r="S14"/>
    </row>
    <row r="15" spans="1:19" ht="15">
      <c r="A15" s="16"/>
      <c r="B15" s="43" t="s">
        <v>28</v>
      </c>
      <c r="C15" s="34"/>
      <c r="D15" s="18"/>
      <c r="E15" s="44">
        <f>IF((E19-4*$C$12)&lt;0,0,(E19-4*$C$12))</f>
        <v>30</v>
      </c>
      <c r="F15" s="126">
        <f>G15+(-0.0009*($C$16)^2+0.2797*($C$16))+18.343</f>
        <v>31.884999999999998</v>
      </c>
      <c r="G15" s="126">
        <f>IF(((-0.0009*(E15+$C$16)^2+0.2797*(E15+$C$16))-(-0.0009*($C$16)^2+0.2797*($C$16)))&lt;0,0,(-0.0009*(E15+$C$16)^2+0.2797*(E15+$C$16))-(-0.0009*($C$16)^2+0.2797*($C$16)))</f>
        <v>5.960999999999999</v>
      </c>
      <c r="H15" s="135">
        <f aca="true" t="shared" si="1" ref="H15:N23">(H$10*$G15)-($C$11*($E15))</f>
        <v>23.956511857707504</v>
      </c>
      <c r="I15" s="135">
        <f t="shared" si="1"/>
        <v>26.937011857707503</v>
      </c>
      <c r="J15" s="135">
        <f t="shared" si="1"/>
        <v>29.917511857707503</v>
      </c>
      <c r="K15" s="135">
        <f t="shared" si="1"/>
        <v>32.8980118577075</v>
      </c>
      <c r="L15" s="135">
        <f t="shared" si="1"/>
        <v>35.8785118577075</v>
      </c>
      <c r="M15" s="135">
        <f t="shared" si="1"/>
        <v>38.8590118577075</v>
      </c>
      <c r="N15" s="136">
        <f t="shared" si="1"/>
        <v>41.8395118577075</v>
      </c>
      <c r="O15" s="153"/>
      <c r="P15"/>
      <c r="Q15"/>
      <c r="R15"/>
      <c r="S15"/>
    </row>
    <row r="16" spans="1:19" ht="15">
      <c r="A16" s="16"/>
      <c r="B16" s="37" t="s">
        <v>29</v>
      </c>
      <c r="C16" s="45">
        <f>'Data Entry'!C15</f>
        <v>30</v>
      </c>
      <c r="D16" s="18"/>
      <c r="E16" s="44">
        <f>IF((E20-4*$C$12)&lt;0,0,(E20-4*$C$12))</f>
        <v>40</v>
      </c>
      <c r="F16" s="126">
        <f aca="true" t="shared" si="2" ref="F16:F23">G16+(-0.0009*($C$16)^2+0.2797*($C$16))+18.343</f>
        <v>33.512</v>
      </c>
      <c r="G16" s="126">
        <f aca="true" t="shared" si="3" ref="G16:G23">IF(((-0.0009*(E16+$C$16)^2+0.2797*(E16+$C$16))-(-0.0009*($C$16)^2+0.2797*($C$16)))&lt;0,0,(-0.0009*(E16+$C$16)^2+0.2797*(E16+$C$16))-(-0.0009*($C$16)^2+0.2797*($C$16)))</f>
        <v>7.588</v>
      </c>
      <c r="H16" s="135">
        <f t="shared" si="1"/>
        <v>29.242015810276683</v>
      </c>
      <c r="I16" s="135">
        <f t="shared" si="1"/>
        <v>33.03601581027668</v>
      </c>
      <c r="J16" s="135">
        <f t="shared" si="1"/>
        <v>36.830015810276684</v>
      </c>
      <c r="K16" s="135">
        <f t="shared" si="1"/>
        <v>40.62401581027668</v>
      </c>
      <c r="L16" s="135">
        <f t="shared" si="1"/>
        <v>44.41801581027668</v>
      </c>
      <c r="M16" s="135">
        <f t="shared" si="1"/>
        <v>48.212015810276675</v>
      </c>
      <c r="N16" s="136">
        <f t="shared" si="1"/>
        <v>52.006015810276686</v>
      </c>
      <c r="O16" s="153"/>
      <c r="P16"/>
      <c r="Q16"/>
      <c r="R16"/>
      <c r="S16"/>
    </row>
    <row r="17" spans="1:19" ht="15">
      <c r="A17" s="16"/>
      <c r="B17" s="43" t="s">
        <v>30</v>
      </c>
      <c r="C17" s="46"/>
      <c r="D17" s="18"/>
      <c r="E17" s="44">
        <f>IF((E21-4*$C$12)&lt;0,0,(E21-4*$C$12))</f>
        <v>50</v>
      </c>
      <c r="F17" s="126">
        <f t="shared" si="2"/>
        <v>34.959</v>
      </c>
      <c r="G17" s="126">
        <f t="shared" si="3"/>
        <v>9.035</v>
      </c>
      <c r="H17" s="135">
        <f t="shared" si="1"/>
        <v>33.177519762845854</v>
      </c>
      <c r="I17" s="135">
        <f t="shared" si="1"/>
        <v>37.69501976284585</v>
      </c>
      <c r="J17" s="135">
        <f t="shared" si="1"/>
        <v>42.21251976284585</v>
      </c>
      <c r="K17" s="135">
        <f t="shared" si="1"/>
        <v>46.73001976284585</v>
      </c>
      <c r="L17" s="135">
        <f t="shared" si="1"/>
        <v>51.24751976284585</v>
      </c>
      <c r="M17" s="135">
        <f t="shared" si="1"/>
        <v>55.765019762845846</v>
      </c>
      <c r="N17" s="136">
        <f t="shared" si="1"/>
        <v>60.28251976284586</v>
      </c>
      <c r="O17" s="153"/>
      <c r="P17"/>
      <c r="Q17"/>
      <c r="R17"/>
      <c r="S17"/>
    </row>
    <row r="18" spans="1:19" ht="15.75" thickBot="1">
      <c r="A18" s="16"/>
      <c r="B18" s="17"/>
      <c r="C18" s="18"/>
      <c r="D18" s="18"/>
      <c r="E18" s="44">
        <f>IF((E22-4*$C$12)&lt;0,0,(E22-4*$C$12))</f>
        <v>60</v>
      </c>
      <c r="F18" s="126">
        <f t="shared" si="2"/>
        <v>36.226</v>
      </c>
      <c r="G18" s="126">
        <f t="shared" si="3"/>
        <v>10.302000000000003</v>
      </c>
      <c r="H18" s="135">
        <f t="shared" si="1"/>
        <v>35.763023715415045</v>
      </c>
      <c r="I18" s="135">
        <f t="shared" si="1"/>
        <v>40.91402371541504</v>
      </c>
      <c r="J18" s="135">
        <f t="shared" si="1"/>
        <v>46.06502371541504</v>
      </c>
      <c r="K18" s="135">
        <f t="shared" si="1"/>
        <v>51.21602371541505</v>
      </c>
      <c r="L18" s="135">
        <f t="shared" si="1"/>
        <v>56.367023715415044</v>
      </c>
      <c r="M18" s="135">
        <f t="shared" si="1"/>
        <v>61.518023715415055</v>
      </c>
      <c r="N18" s="136">
        <f t="shared" si="1"/>
        <v>66.66902371541505</v>
      </c>
      <c r="O18" s="153"/>
      <c r="P18"/>
      <c r="Q18"/>
      <c r="R18"/>
      <c r="S18"/>
    </row>
    <row r="19" spans="1:19" ht="15.75" thickBot="1">
      <c r="A19" s="16"/>
      <c r="B19" s="54"/>
      <c r="C19" s="48"/>
      <c r="D19" s="49" t="s">
        <v>13</v>
      </c>
      <c r="E19" s="50">
        <f>'Data Entry'!F11</f>
        <v>70</v>
      </c>
      <c r="F19" s="126">
        <f t="shared" si="2"/>
        <v>37.313</v>
      </c>
      <c r="G19" s="126">
        <f t="shared" si="3"/>
        <v>11.389</v>
      </c>
      <c r="H19" s="135">
        <f t="shared" si="1"/>
        <v>36.99852766798418</v>
      </c>
      <c r="I19" s="135">
        <f t="shared" si="1"/>
        <v>42.69302766798418</v>
      </c>
      <c r="J19" s="135">
        <f t="shared" si="1"/>
        <v>48.38752766798419</v>
      </c>
      <c r="K19" s="135">
        <f t="shared" si="1"/>
        <v>54.08202766798418</v>
      </c>
      <c r="L19" s="135">
        <f t="shared" si="1"/>
        <v>59.77652766798418</v>
      </c>
      <c r="M19" s="135">
        <f t="shared" si="1"/>
        <v>65.47102766798417</v>
      </c>
      <c r="N19" s="136">
        <f t="shared" si="1"/>
        <v>71.16552766798418</v>
      </c>
      <c r="O19" s="153"/>
      <c r="P19"/>
      <c r="Q19"/>
      <c r="R19"/>
      <c r="S19"/>
    </row>
    <row r="20" spans="1:19" ht="15">
      <c r="A20" s="16"/>
      <c r="B20" s="17"/>
      <c r="C20" s="18"/>
      <c r="D20" s="18"/>
      <c r="E20" s="51">
        <f>E19+C12</f>
        <v>80</v>
      </c>
      <c r="F20" s="126">
        <f t="shared" si="2"/>
        <v>38.22</v>
      </c>
      <c r="G20" s="126">
        <f t="shared" si="3"/>
        <v>12.296</v>
      </c>
      <c r="H20" s="135">
        <f t="shared" si="1"/>
        <v>36.88403162055336</v>
      </c>
      <c r="I20" s="135">
        <f t="shared" si="1"/>
        <v>43.032031620553354</v>
      </c>
      <c r="J20" s="135">
        <f t="shared" si="1"/>
        <v>49.18003162055335</v>
      </c>
      <c r="K20" s="135">
        <f t="shared" si="1"/>
        <v>55.32803162055335</v>
      </c>
      <c r="L20" s="135">
        <f t="shared" si="1"/>
        <v>61.47603162055336</v>
      </c>
      <c r="M20" s="135">
        <f t="shared" si="1"/>
        <v>67.62403162055335</v>
      </c>
      <c r="N20" s="136">
        <f t="shared" si="1"/>
        <v>73.77203162055336</v>
      </c>
      <c r="O20" s="153"/>
      <c r="P20"/>
      <c r="Q20"/>
      <c r="R20"/>
      <c r="S20"/>
    </row>
    <row r="21" spans="1:19" ht="15">
      <c r="A21" s="16"/>
      <c r="B21" s="17"/>
      <c r="C21" s="18"/>
      <c r="D21" s="18"/>
      <c r="E21" s="51">
        <f>E19+2*C12</f>
        <v>90</v>
      </c>
      <c r="F21" s="126">
        <f t="shared" si="2"/>
        <v>38.947</v>
      </c>
      <c r="G21" s="126">
        <f t="shared" si="3"/>
        <v>13.023</v>
      </c>
      <c r="H21" s="135">
        <f t="shared" si="1"/>
        <v>35.41953557312253</v>
      </c>
      <c r="I21" s="135">
        <f t="shared" si="1"/>
        <v>41.93103557312253</v>
      </c>
      <c r="J21" s="135">
        <f t="shared" si="1"/>
        <v>48.44253557312253</v>
      </c>
      <c r="K21" s="135">
        <f t="shared" si="1"/>
        <v>54.954035573122525</v>
      </c>
      <c r="L21" s="135">
        <f t="shared" si="1"/>
        <v>61.46553557312252</v>
      </c>
      <c r="M21" s="135">
        <f t="shared" si="1"/>
        <v>67.97703557312252</v>
      </c>
      <c r="N21" s="136">
        <f t="shared" si="1"/>
        <v>74.48853557312253</v>
      </c>
      <c r="O21" s="153"/>
      <c r="P21"/>
      <c r="Q21"/>
      <c r="R21"/>
      <c r="S21"/>
    </row>
    <row r="22" spans="1:19" ht="15">
      <c r="A22" s="16"/>
      <c r="B22" s="17"/>
      <c r="C22" s="18"/>
      <c r="D22" s="18"/>
      <c r="E22" s="51">
        <f>E19+3*C12</f>
        <v>100</v>
      </c>
      <c r="F22" s="126">
        <f t="shared" si="2"/>
        <v>39.494</v>
      </c>
      <c r="G22" s="126">
        <f t="shared" si="3"/>
        <v>13.569999999999997</v>
      </c>
      <c r="H22" s="135">
        <f t="shared" si="1"/>
        <v>32.60503952569168</v>
      </c>
      <c r="I22" s="135">
        <f t="shared" si="1"/>
        <v>39.39003952569168</v>
      </c>
      <c r="J22" s="135">
        <f t="shared" si="1"/>
        <v>46.17503952569167</v>
      </c>
      <c r="K22" s="135">
        <f t="shared" si="1"/>
        <v>52.96003952569167</v>
      </c>
      <c r="L22" s="135">
        <f t="shared" si="1"/>
        <v>59.745039525691666</v>
      </c>
      <c r="M22" s="135">
        <f t="shared" si="1"/>
        <v>66.53003952569166</v>
      </c>
      <c r="N22" s="136">
        <f t="shared" si="1"/>
        <v>73.31503952569166</v>
      </c>
      <c r="O22" s="153"/>
      <c r="P22"/>
      <c r="Q22"/>
      <c r="R22"/>
      <c r="S22"/>
    </row>
    <row r="23" spans="1:19" ht="15">
      <c r="A23" s="16"/>
      <c r="B23" s="17"/>
      <c r="C23" s="18"/>
      <c r="D23" s="18"/>
      <c r="E23" s="51">
        <f>E19+4*C12</f>
        <v>110</v>
      </c>
      <c r="F23" s="126">
        <f t="shared" si="2"/>
        <v>39.861000000000004</v>
      </c>
      <c r="G23" s="126">
        <f t="shared" si="3"/>
        <v>13.937000000000001</v>
      </c>
      <c r="H23" s="135">
        <f t="shared" si="1"/>
        <v>28.440543478260878</v>
      </c>
      <c r="I23" s="135">
        <f t="shared" si="1"/>
        <v>35.409043478260884</v>
      </c>
      <c r="J23" s="135">
        <f t="shared" si="1"/>
        <v>42.37754347826089</v>
      </c>
      <c r="K23" s="135">
        <f t="shared" si="1"/>
        <v>49.34604347826088</v>
      </c>
      <c r="L23" s="135">
        <f t="shared" si="1"/>
        <v>56.31454347826087</v>
      </c>
      <c r="M23" s="135">
        <f t="shared" si="1"/>
        <v>63.28304347826088</v>
      </c>
      <c r="N23" s="136">
        <f t="shared" si="1"/>
        <v>70.25154347826088</v>
      </c>
      <c r="O23" s="153"/>
      <c r="P23"/>
      <c r="Q23"/>
      <c r="R23"/>
      <c r="S23"/>
    </row>
    <row r="24" spans="1:19" ht="13.5" customHeight="1">
      <c r="A24" s="16"/>
      <c r="B24" s="17"/>
      <c r="C24" s="18"/>
      <c r="D24" s="18"/>
      <c r="E24" s="276" t="s">
        <v>66</v>
      </c>
      <c r="F24" s="277"/>
      <c r="G24" s="277"/>
      <c r="H24" s="277"/>
      <c r="I24" s="277"/>
      <c r="J24" s="277"/>
      <c r="K24" s="277"/>
      <c r="L24" s="277"/>
      <c r="M24" s="277"/>
      <c r="N24" s="278"/>
      <c r="O24" s="153"/>
      <c r="P24"/>
      <c r="Q24"/>
      <c r="R24"/>
      <c r="S24"/>
    </row>
    <row r="25" spans="1:19" ht="9.75" customHeight="1">
      <c r="A25" s="16"/>
      <c r="B25" s="17"/>
      <c r="C25" s="18"/>
      <c r="D25" s="18"/>
      <c r="E25" s="263" t="s">
        <v>16</v>
      </c>
      <c r="F25" s="264"/>
      <c r="G25" s="264"/>
      <c r="H25" s="264"/>
      <c r="I25" s="264"/>
      <c r="J25" s="264"/>
      <c r="K25" s="264"/>
      <c r="L25" s="264"/>
      <c r="M25" s="264"/>
      <c r="N25" s="265"/>
      <c r="O25" s="153"/>
      <c r="P25"/>
      <c r="Q25"/>
      <c r="R25"/>
      <c r="S25"/>
    </row>
    <row r="26" spans="1:19" ht="9.75" customHeight="1">
      <c r="A26" s="16"/>
      <c r="B26" s="17"/>
      <c r="C26" s="18"/>
      <c r="D26" s="18"/>
      <c r="E26" s="263" t="s">
        <v>27</v>
      </c>
      <c r="F26" s="264"/>
      <c r="G26" s="264"/>
      <c r="H26" s="264"/>
      <c r="I26" s="264"/>
      <c r="J26" s="264"/>
      <c r="K26" s="264"/>
      <c r="L26" s="264"/>
      <c r="M26" s="264"/>
      <c r="N26" s="265"/>
      <c r="O26" s="153"/>
      <c r="P26"/>
      <c r="Q26"/>
      <c r="R26"/>
      <c r="S26"/>
    </row>
    <row r="27" spans="1:19" ht="11.25" customHeight="1">
      <c r="A27" s="16"/>
      <c r="B27" s="17"/>
      <c r="C27" s="18"/>
      <c r="D27" s="18"/>
      <c r="E27" s="249" t="s">
        <v>88</v>
      </c>
      <c r="F27" s="250"/>
      <c r="G27" s="250"/>
      <c r="H27" s="250"/>
      <c r="I27" s="250"/>
      <c r="J27" s="250"/>
      <c r="K27" s="251"/>
      <c r="L27" s="251"/>
      <c r="M27" s="251"/>
      <c r="N27" s="252"/>
      <c r="O27" s="153"/>
      <c r="P27"/>
      <c r="Q27"/>
      <c r="R27"/>
      <c r="S27"/>
    </row>
    <row r="28" spans="1:19" ht="12" customHeight="1" thickBot="1">
      <c r="A28" s="16"/>
      <c r="B28" s="17"/>
      <c r="C28" s="18"/>
      <c r="D28" s="18"/>
      <c r="E28" s="269" t="s">
        <v>38</v>
      </c>
      <c r="F28" s="270"/>
      <c r="G28" s="271"/>
      <c r="H28" s="271"/>
      <c r="I28" s="271"/>
      <c r="J28" s="271"/>
      <c r="K28" s="272"/>
      <c r="L28" s="272"/>
      <c r="M28" s="272"/>
      <c r="N28" s="273"/>
      <c r="O28" s="153"/>
      <c r="P28"/>
      <c r="Q28"/>
      <c r="R28"/>
      <c r="S28"/>
    </row>
    <row r="29" spans="2:19" ht="11.25" customHeight="1">
      <c r="B29" s="17"/>
      <c r="E29" s="264"/>
      <c r="F29" s="264"/>
      <c r="G29" s="264"/>
      <c r="H29" s="264"/>
      <c r="I29" s="264"/>
      <c r="J29" s="264"/>
      <c r="K29" s="264"/>
      <c r="L29" s="264"/>
      <c r="M29" s="264"/>
      <c r="N29" s="265"/>
      <c r="O29" s="153"/>
      <c r="P29"/>
      <c r="Q29"/>
      <c r="R29"/>
      <c r="S29"/>
    </row>
    <row r="30" spans="2:19" ht="9.75" customHeight="1" thickBot="1">
      <c r="B30" s="215"/>
      <c r="C30" s="216"/>
      <c r="D30" s="216"/>
      <c r="E30" s="216"/>
      <c r="F30" s="216"/>
      <c r="G30" s="216"/>
      <c r="H30" s="216"/>
      <c r="I30" s="216"/>
      <c r="J30" s="216"/>
      <c r="K30" s="55"/>
      <c r="L30" s="55"/>
      <c r="M30" s="55"/>
      <c r="N30" s="56"/>
      <c r="O30" s="153"/>
      <c r="P30"/>
      <c r="Q30"/>
      <c r="R30"/>
      <c r="S30"/>
    </row>
    <row r="31" spans="2:19" ht="4.5" customHeight="1" thickBot="1">
      <c r="B31" s="189"/>
      <c r="N31" s="24"/>
      <c r="O31" s="153"/>
      <c r="P31"/>
      <c r="Q31"/>
      <c r="R31"/>
      <c r="S31"/>
    </row>
    <row r="32" spans="1:15" ht="15.75" customHeight="1" thickBot="1">
      <c r="A32" s="16"/>
      <c r="B32" s="234" t="s">
        <v>39</v>
      </c>
      <c r="C32" s="235"/>
      <c r="E32" s="18"/>
      <c r="F32" s="18"/>
      <c r="G32" s="18"/>
      <c r="H32" s="18"/>
      <c r="I32" s="19"/>
      <c r="J32" s="18"/>
      <c r="K32" s="19"/>
      <c r="L32" s="12"/>
      <c r="M32" s="12"/>
      <c r="N32" s="15"/>
      <c r="O32" s="155"/>
    </row>
    <row r="33" spans="1:15" ht="15" customHeight="1">
      <c r="A33" s="16"/>
      <c r="B33" s="87" t="s">
        <v>1</v>
      </c>
      <c r="C33" s="21" t="str">
        <f>'Data Entry'!C7</f>
        <v>UREA</v>
      </c>
      <c r="D33" s="18"/>
      <c r="F33" s="22"/>
      <c r="G33" s="213" t="s">
        <v>102</v>
      </c>
      <c r="H33" s="23"/>
      <c r="I33" s="266" t="s">
        <v>26</v>
      </c>
      <c r="J33" s="267"/>
      <c r="K33" s="267"/>
      <c r="L33" s="267"/>
      <c r="M33" s="267"/>
      <c r="N33" s="24"/>
      <c r="O33" s="155"/>
    </row>
    <row r="34" spans="1:15" ht="15">
      <c r="A34" s="16"/>
      <c r="B34" s="20" t="s">
        <v>3</v>
      </c>
      <c r="C34" s="179">
        <f>'Data Entry'!C8</f>
        <v>700</v>
      </c>
      <c r="D34" s="18"/>
      <c r="F34" s="17"/>
      <c r="G34" s="214"/>
      <c r="H34" s="18"/>
      <c r="I34" s="19"/>
      <c r="J34" s="18"/>
      <c r="K34" s="19"/>
      <c r="L34" s="12"/>
      <c r="M34" s="12"/>
      <c r="N34" s="15"/>
      <c r="O34" s="155"/>
    </row>
    <row r="35" spans="1:15" ht="15">
      <c r="A35" s="16"/>
      <c r="B35" s="20" t="s">
        <v>4</v>
      </c>
      <c r="C35" s="25">
        <f>'Data Entry'!C9</f>
        <v>46</v>
      </c>
      <c r="D35" s="18"/>
      <c r="F35" s="17"/>
      <c r="G35" s="214"/>
      <c r="H35" s="26">
        <f>K35-C39*3</f>
        <v>7.5</v>
      </c>
      <c r="I35" s="26">
        <f>K35-C39*2</f>
        <v>8</v>
      </c>
      <c r="J35" s="26">
        <f>K35-C39</f>
        <v>8.5</v>
      </c>
      <c r="K35" s="27">
        <f>'Data Entry'!F16</f>
        <v>9</v>
      </c>
      <c r="L35" s="26">
        <f>K35+C39</f>
        <v>9.5</v>
      </c>
      <c r="M35" s="26">
        <f>K35+C39*2</f>
        <v>10</v>
      </c>
      <c r="N35" s="28">
        <f>K35+C39*3</f>
        <v>10.5</v>
      </c>
      <c r="O35" s="155"/>
    </row>
    <row r="36" spans="1:15" ht="15">
      <c r="A36" s="16"/>
      <c r="B36" s="20" t="s">
        <v>5</v>
      </c>
      <c r="C36" s="61">
        <f>(C34/((C35/100)*2200))</f>
        <v>0.691699604743083</v>
      </c>
      <c r="D36" s="18"/>
      <c r="F36" s="17"/>
      <c r="G36" s="29" t="s">
        <v>6</v>
      </c>
      <c r="H36" s="18"/>
      <c r="I36" s="18"/>
      <c r="J36" s="18"/>
      <c r="K36" s="12"/>
      <c r="L36" s="12"/>
      <c r="M36" s="12"/>
      <c r="N36" s="15"/>
      <c r="O36" s="155"/>
    </row>
    <row r="37" spans="1:19" ht="15">
      <c r="A37" s="16"/>
      <c r="B37" s="30" t="s">
        <v>20</v>
      </c>
      <c r="C37" s="31">
        <f>'Data Entry'!C11</f>
        <v>10</v>
      </c>
      <c r="D37" s="18"/>
      <c r="F37" s="32"/>
      <c r="G37" s="70" t="s">
        <v>67</v>
      </c>
      <c r="H37" s="217" t="s">
        <v>112</v>
      </c>
      <c r="I37" s="217"/>
      <c r="J37" s="217"/>
      <c r="K37" s="217"/>
      <c r="L37" s="217"/>
      <c r="M37" s="217"/>
      <c r="N37" s="218"/>
      <c r="O37" s="153"/>
      <c r="P37"/>
      <c r="Q37"/>
      <c r="R37"/>
      <c r="S37"/>
    </row>
    <row r="38" spans="1:19" ht="15.75" thickBot="1">
      <c r="A38" s="16"/>
      <c r="B38" s="33" t="s">
        <v>106</v>
      </c>
      <c r="C38" s="34"/>
      <c r="D38" s="18"/>
      <c r="F38" s="35" t="s">
        <v>9</v>
      </c>
      <c r="G38" s="73" t="s">
        <v>68</v>
      </c>
      <c r="H38" s="219" t="s">
        <v>15</v>
      </c>
      <c r="I38" s="219"/>
      <c r="J38" s="219"/>
      <c r="K38" s="219"/>
      <c r="L38" s="219"/>
      <c r="M38" s="219"/>
      <c r="N38" s="212"/>
      <c r="O38" s="153"/>
      <c r="P38"/>
      <c r="Q38"/>
      <c r="R38"/>
      <c r="S38"/>
    </row>
    <row r="39" spans="1:19" ht="15">
      <c r="A39" s="16"/>
      <c r="B39" s="37" t="s">
        <v>108</v>
      </c>
      <c r="C39" s="57">
        <f>'Data Entry'!C13</f>
        <v>0.5</v>
      </c>
      <c r="D39" s="18"/>
      <c r="F39" s="39" t="s">
        <v>11</v>
      </c>
      <c r="G39" s="75" t="s">
        <v>12</v>
      </c>
      <c r="H39" s="41">
        <f aca="true" t="shared" si="4" ref="H39:N39">H35/$C$11</f>
        <v>10.842857142857143</v>
      </c>
      <c r="I39" s="41">
        <f t="shared" si="4"/>
        <v>11.565714285714286</v>
      </c>
      <c r="J39" s="41">
        <f t="shared" si="4"/>
        <v>12.288571428571428</v>
      </c>
      <c r="K39" s="41">
        <f t="shared" si="4"/>
        <v>13.01142857142857</v>
      </c>
      <c r="L39" s="41">
        <f t="shared" si="4"/>
        <v>13.734285714285715</v>
      </c>
      <c r="M39" s="41">
        <f t="shared" si="4"/>
        <v>14.457142857142857</v>
      </c>
      <c r="N39" s="42">
        <f t="shared" si="4"/>
        <v>15.18</v>
      </c>
      <c r="O39" s="153"/>
      <c r="P39"/>
      <c r="Q39"/>
      <c r="R39"/>
      <c r="S39"/>
    </row>
    <row r="40" spans="1:19" ht="15">
      <c r="A40" s="16"/>
      <c r="B40" s="43" t="s">
        <v>28</v>
      </c>
      <c r="C40" s="34"/>
      <c r="D40" s="18"/>
      <c r="F40" s="44">
        <f>IF((F44-4*$C$12)&lt;0,0,(F44-4*$C$12))</f>
        <v>30</v>
      </c>
      <c r="G40" s="126">
        <f>G15+(-0.0009*($C$16)^2+0.2797*($C$16))+18.343</f>
        <v>31.884999999999998</v>
      </c>
      <c r="H40" s="135">
        <f aca="true" t="shared" si="5" ref="H40:N48">(H$10*$G40)-($C$11*($F40))</f>
        <v>218.3865118577075</v>
      </c>
      <c r="I40" s="135">
        <f t="shared" si="5"/>
        <v>234.32901185770748</v>
      </c>
      <c r="J40" s="135">
        <f t="shared" si="5"/>
        <v>250.27151185770748</v>
      </c>
      <c r="K40" s="135">
        <f t="shared" si="5"/>
        <v>266.2140118577075</v>
      </c>
      <c r="L40" s="135">
        <f t="shared" si="5"/>
        <v>282.15651185770747</v>
      </c>
      <c r="M40" s="135">
        <f t="shared" si="5"/>
        <v>298.09901185770747</v>
      </c>
      <c r="N40" s="136">
        <f t="shared" si="5"/>
        <v>314.04151185770746</v>
      </c>
      <c r="O40" s="153"/>
      <c r="P40"/>
      <c r="Q40"/>
      <c r="R40"/>
      <c r="S40"/>
    </row>
    <row r="41" spans="1:19" ht="15">
      <c r="A41" s="16"/>
      <c r="B41" s="37" t="s">
        <v>29</v>
      </c>
      <c r="C41" s="45">
        <f>'Data Entry'!C15</f>
        <v>30</v>
      </c>
      <c r="D41" s="18"/>
      <c r="F41" s="44">
        <f>IF((F45-4*$C$12)&lt;0,0,(F45-4*$C$12))</f>
        <v>40</v>
      </c>
      <c r="G41" s="126">
        <f aca="true" t="shared" si="6" ref="G41:G48">G16+(-0.0009*($C$16)^2+0.2797*($C$16))+18.343</f>
        <v>33.512</v>
      </c>
      <c r="H41" s="135">
        <f t="shared" si="5"/>
        <v>223.6720158102767</v>
      </c>
      <c r="I41" s="135">
        <f t="shared" si="5"/>
        <v>240.4280158102767</v>
      </c>
      <c r="J41" s="135">
        <f t="shared" si="5"/>
        <v>257.18401581027666</v>
      </c>
      <c r="K41" s="135">
        <f t="shared" si="5"/>
        <v>273.9400158102767</v>
      </c>
      <c r="L41" s="135">
        <f t="shared" si="5"/>
        <v>290.6960158102767</v>
      </c>
      <c r="M41" s="135">
        <f t="shared" si="5"/>
        <v>307.4520158102767</v>
      </c>
      <c r="N41" s="136">
        <f t="shared" si="5"/>
        <v>324.20801581027666</v>
      </c>
      <c r="O41" s="153"/>
      <c r="P41"/>
      <c r="Q41"/>
      <c r="R41"/>
      <c r="S41"/>
    </row>
    <row r="42" spans="1:19" ht="15">
      <c r="A42" s="16"/>
      <c r="B42" s="43" t="s">
        <v>30</v>
      </c>
      <c r="C42" s="46"/>
      <c r="D42" s="18"/>
      <c r="F42" s="44">
        <f>IF((F46-4*$C$12)&lt;0,0,(F46-4*$C$12))</f>
        <v>50</v>
      </c>
      <c r="G42" s="126">
        <f t="shared" si="6"/>
        <v>34.959</v>
      </c>
      <c r="H42" s="135">
        <f t="shared" si="5"/>
        <v>227.60751976284584</v>
      </c>
      <c r="I42" s="135">
        <f t="shared" si="5"/>
        <v>245.08701976284587</v>
      </c>
      <c r="J42" s="135">
        <f t="shared" si="5"/>
        <v>262.5665197628459</v>
      </c>
      <c r="K42" s="135">
        <f t="shared" si="5"/>
        <v>280.0460197628459</v>
      </c>
      <c r="L42" s="135">
        <f t="shared" si="5"/>
        <v>297.5255197628459</v>
      </c>
      <c r="M42" s="135">
        <f t="shared" si="5"/>
        <v>315.0050197628459</v>
      </c>
      <c r="N42" s="136">
        <f t="shared" si="5"/>
        <v>332.48451976284593</v>
      </c>
      <c r="O42" s="153"/>
      <c r="P42"/>
      <c r="Q42"/>
      <c r="R42"/>
      <c r="S42"/>
    </row>
    <row r="43" spans="1:19" ht="15.75" thickBot="1">
      <c r="A43" s="16"/>
      <c r="B43" s="17"/>
      <c r="C43" s="18"/>
      <c r="D43" s="18"/>
      <c r="F43" s="44">
        <f>IF((F47-4*$C$12)&lt;0,0,(F47-4*$C$12))</f>
        <v>60</v>
      </c>
      <c r="G43" s="126">
        <f t="shared" si="6"/>
        <v>36.226</v>
      </c>
      <c r="H43" s="135">
        <f t="shared" si="5"/>
        <v>230.193023715415</v>
      </c>
      <c r="I43" s="135">
        <f t="shared" si="5"/>
        <v>248.306023715415</v>
      </c>
      <c r="J43" s="135">
        <f t="shared" si="5"/>
        <v>266.419023715415</v>
      </c>
      <c r="K43" s="135">
        <f t="shared" si="5"/>
        <v>284.532023715415</v>
      </c>
      <c r="L43" s="135">
        <f t="shared" si="5"/>
        <v>302.645023715415</v>
      </c>
      <c r="M43" s="135">
        <f t="shared" si="5"/>
        <v>320.758023715415</v>
      </c>
      <c r="N43" s="136">
        <f t="shared" si="5"/>
        <v>338.871023715415</v>
      </c>
      <c r="O43" s="153"/>
      <c r="P43"/>
      <c r="Q43"/>
      <c r="R43"/>
      <c r="S43"/>
    </row>
    <row r="44" spans="1:19" ht="15.75" thickBot="1">
      <c r="A44" s="16"/>
      <c r="B44" s="47"/>
      <c r="C44" s="48"/>
      <c r="E44" s="49" t="s">
        <v>13</v>
      </c>
      <c r="F44" s="50">
        <f>E19</f>
        <v>70</v>
      </c>
      <c r="G44" s="126">
        <f t="shared" si="6"/>
        <v>37.313</v>
      </c>
      <c r="H44" s="135">
        <f t="shared" si="5"/>
        <v>231.4285276679842</v>
      </c>
      <c r="I44" s="135">
        <f t="shared" si="5"/>
        <v>250.0850276679842</v>
      </c>
      <c r="J44" s="135">
        <f t="shared" si="5"/>
        <v>268.7415276679842</v>
      </c>
      <c r="K44" s="135">
        <f t="shared" si="5"/>
        <v>287.3980276679842</v>
      </c>
      <c r="L44" s="135">
        <f t="shared" si="5"/>
        <v>306.0545276679842</v>
      </c>
      <c r="M44" s="135">
        <f t="shared" si="5"/>
        <v>324.7110276679842</v>
      </c>
      <c r="N44" s="136">
        <f t="shared" si="5"/>
        <v>343.36752766798423</v>
      </c>
      <c r="O44" s="153"/>
      <c r="P44"/>
      <c r="Q44"/>
      <c r="R44"/>
      <c r="S44"/>
    </row>
    <row r="45" spans="1:19" ht="15">
      <c r="A45" s="16"/>
      <c r="B45" s="17"/>
      <c r="C45" s="18"/>
      <c r="D45" s="18"/>
      <c r="F45" s="51">
        <f>F44+C37</f>
        <v>80</v>
      </c>
      <c r="G45" s="126">
        <f t="shared" si="6"/>
        <v>38.22</v>
      </c>
      <c r="H45" s="135">
        <f t="shared" si="5"/>
        <v>231.31403162055335</v>
      </c>
      <c r="I45" s="135">
        <f t="shared" si="5"/>
        <v>250.42403162055336</v>
      </c>
      <c r="J45" s="135">
        <f t="shared" si="5"/>
        <v>269.5340316205534</v>
      </c>
      <c r="K45" s="135">
        <f t="shared" si="5"/>
        <v>288.6440316205534</v>
      </c>
      <c r="L45" s="135">
        <f t="shared" si="5"/>
        <v>307.75403162055335</v>
      </c>
      <c r="M45" s="135">
        <f t="shared" si="5"/>
        <v>326.86403162055336</v>
      </c>
      <c r="N45" s="136">
        <f t="shared" si="5"/>
        <v>345.9740316205534</v>
      </c>
      <c r="O45" s="153"/>
      <c r="P45"/>
      <c r="Q45"/>
      <c r="R45"/>
      <c r="S45"/>
    </row>
    <row r="46" spans="1:19" ht="15">
      <c r="A46" s="16"/>
      <c r="B46" s="17"/>
      <c r="C46" s="52"/>
      <c r="D46" s="18"/>
      <c r="F46" s="51">
        <f>F44+2*C37</f>
        <v>90</v>
      </c>
      <c r="G46" s="126">
        <f t="shared" si="6"/>
        <v>38.947</v>
      </c>
      <c r="H46" s="135">
        <f t="shared" si="5"/>
        <v>229.84953557312255</v>
      </c>
      <c r="I46" s="135">
        <f t="shared" si="5"/>
        <v>249.32303557312255</v>
      </c>
      <c r="J46" s="135">
        <f t="shared" si="5"/>
        <v>268.7965355731226</v>
      </c>
      <c r="K46" s="135">
        <f t="shared" si="5"/>
        <v>288.2700355731225</v>
      </c>
      <c r="L46" s="135">
        <f t="shared" si="5"/>
        <v>307.7435355731226</v>
      </c>
      <c r="M46" s="135">
        <f t="shared" si="5"/>
        <v>327.21703557312253</v>
      </c>
      <c r="N46" s="136">
        <f t="shared" si="5"/>
        <v>346.6905355731226</v>
      </c>
      <c r="O46" s="153"/>
      <c r="P46"/>
      <c r="Q46"/>
      <c r="R46"/>
      <c r="S46"/>
    </row>
    <row r="47" spans="1:19" ht="15">
      <c r="A47" s="16"/>
      <c r="B47" s="17"/>
      <c r="C47" s="18"/>
      <c r="D47" s="18"/>
      <c r="F47" s="51">
        <f>F44+3*C37</f>
        <v>100</v>
      </c>
      <c r="G47" s="126">
        <f t="shared" si="6"/>
        <v>39.494</v>
      </c>
      <c r="H47" s="135">
        <f t="shared" si="5"/>
        <v>227.03503952569167</v>
      </c>
      <c r="I47" s="135">
        <f t="shared" si="5"/>
        <v>246.7820395256917</v>
      </c>
      <c r="J47" s="135">
        <f t="shared" si="5"/>
        <v>266.5290395256917</v>
      </c>
      <c r="K47" s="135">
        <f t="shared" si="5"/>
        <v>286.2760395256917</v>
      </c>
      <c r="L47" s="135">
        <f t="shared" si="5"/>
        <v>306.0230395256917</v>
      </c>
      <c r="M47" s="135">
        <f t="shared" si="5"/>
        <v>325.7700395256917</v>
      </c>
      <c r="N47" s="136">
        <f t="shared" si="5"/>
        <v>345.5170395256917</v>
      </c>
      <c r="O47" s="153"/>
      <c r="P47"/>
      <c r="Q47"/>
      <c r="R47"/>
      <c r="S47"/>
    </row>
    <row r="48" spans="1:19" ht="15">
      <c r="A48" s="16"/>
      <c r="B48" s="17"/>
      <c r="C48" s="18"/>
      <c r="D48" s="18"/>
      <c r="F48" s="51">
        <f>F44+4*C37</f>
        <v>110</v>
      </c>
      <c r="G48" s="126">
        <f t="shared" si="6"/>
        <v>39.861000000000004</v>
      </c>
      <c r="H48" s="135">
        <f t="shared" si="5"/>
        <v>222.8705434782609</v>
      </c>
      <c r="I48" s="135">
        <f t="shared" si="5"/>
        <v>242.8010434782609</v>
      </c>
      <c r="J48" s="135">
        <f t="shared" si="5"/>
        <v>262.7315434782609</v>
      </c>
      <c r="K48" s="135">
        <f t="shared" si="5"/>
        <v>282.6620434782609</v>
      </c>
      <c r="L48" s="135">
        <f t="shared" si="5"/>
        <v>302.5925434782609</v>
      </c>
      <c r="M48" s="135">
        <f t="shared" si="5"/>
        <v>322.5230434782609</v>
      </c>
      <c r="N48" s="136">
        <f t="shared" si="5"/>
        <v>342.45354347826094</v>
      </c>
      <c r="O48" s="153"/>
      <c r="P48"/>
      <c r="Q48"/>
      <c r="R48"/>
      <c r="S48"/>
    </row>
    <row r="49" spans="1:19" ht="13.5" customHeight="1">
      <c r="A49" s="16"/>
      <c r="B49" s="17"/>
      <c r="C49" s="18"/>
      <c r="D49" s="18"/>
      <c r="F49" s="180" t="s">
        <v>104</v>
      </c>
      <c r="G49" s="173"/>
      <c r="H49" s="173"/>
      <c r="I49" s="173"/>
      <c r="J49" s="173"/>
      <c r="K49" s="173"/>
      <c r="L49" s="173"/>
      <c r="M49" s="173"/>
      <c r="N49" s="174"/>
      <c r="O49" s="153"/>
      <c r="P49"/>
      <c r="Q49"/>
      <c r="R49"/>
      <c r="S49"/>
    </row>
    <row r="50" spans="1:19" ht="9.75" customHeight="1">
      <c r="A50" s="16"/>
      <c r="B50" s="17"/>
      <c r="C50" s="18"/>
      <c r="D50" s="18"/>
      <c r="F50" s="183" t="s">
        <v>16</v>
      </c>
      <c r="G50" s="175"/>
      <c r="H50" s="175"/>
      <c r="I50" s="175"/>
      <c r="J50" s="175"/>
      <c r="K50" s="175"/>
      <c r="L50" s="175"/>
      <c r="M50" s="175"/>
      <c r="N50" s="176"/>
      <c r="O50" s="153"/>
      <c r="P50"/>
      <c r="Q50"/>
      <c r="R50"/>
      <c r="S50"/>
    </row>
    <row r="51" spans="1:19" ht="9.75" customHeight="1">
      <c r="A51" s="16"/>
      <c r="B51" s="17"/>
      <c r="C51" s="18"/>
      <c r="D51" s="18"/>
      <c r="F51" s="183" t="s">
        <v>103</v>
      </c>
      <c r="G51" s="175"/>
      <c r="H51" s="175"/>
      <c r="I51" s="175"/>
      <c r="J51" s="175"/>
      <c r="K51" s="175"/>
      <c r="L51" s="175"/>
      <c r="M51" s="175"/>
      <c r="N51" s="176"/>
      <c r="O51" s="153"/>
      <c r="P51"/>
      <c r="Q51"/>
      <c r="R51"/>
      <c r="S51"/>
    </row>
    <row r="52" spans="1:19" ht="11.25" customHeight="1">
      <c r="A52" s="16"/>
      <c r="B52" s="17"/>
      <c r="C52" s="18"/>
      <c r="D52" s="18"/>
      <c r="F52" s="79" t="s">
        <v>88</v>
      </c>
      <c r="G52" s="80"/>
      <c r="H52" s="80"/>
      <c r="I52" s="80"/>
      <c r="J52" s="80"/>
      <c r="K52" s="130"/>
      <c r="L52" s="130"/>
      <c r="M52" s="130"/>
      <c r="N52" s="166"/>
      <c r="O52" s="153"/>
      <c r="P52"/>
      <c r="Q52"/>
      <c r="R52"/>
      <c r="S52"/>
    </row>
    <row r="53" spans="1:19" ht="12" customHeight="1" thickBot="1">
      <c r="A53" s="16"/>
      <c r="B53" s="17"/>
      <c r="C53" s="18"/>
      <c r="D53" s="18"/>
      <c r="F53" s="186" t="s">
        <v>38</v>
      </c>
      <c r="G53" s="177"/>
      <c r="H53" s="178"/>
      <c r="I53" s="178"/>
      <c r="J53" s="178"/>
      <c r="K53" s="170"/>
      <c r="L53" s="170"/>
      <c r="M53" s="170"/>
      <c r="N53" s="171"/>
      <c r="O53" s="153"/>
      <c r="P53"/>
      <c r="Q53"/>
      <c r="R53"/>
      <c r="S53"/>
    </row>
    <row r="54" spans="1:19" ht="11.25" customHeight="1">
      <c r="A54" s="16"/>
      <c r="B54" s="17"/>
      <c r="C54" s="18"/>
      <c r="D54" s="18"/>
      <c r="E54" s="53"/>
      <c r="F54" s="53"/>
      <c r="G54" s="53"/>
      <c r="H54" s="53"/>
      <c r="I54" s="53"/>
      <c r="J54" s="53"/>
      <c r="K54" s="12"/>
      <c r="L54" s="12"/>
      <c r="M54" s="12"/>
      <c r="N54" s="15"/>
      <c r="O54" s="153"/>
      <c r="P54"/>
      <c r="Q54"/>
      <c r="R54"/>
      <c r="S54"/>
    </row>
    <row r="55" spans="2:19" ht="11.25" customHeight="1" thickBot="1">
      <c r="B55" s="215"/>
      <c r="C55" s="216"/>
      <c r="D55" s="216"/>
      <c r="E55" s="216"/>
      <c r="F55" s="216"/>
      <c r="G55" s="216"/>
      <c r="H55" s="216"/>
      <c r="I55" s="216"/>
      <c r="J55" s="216"/>
      <c r="K55" s="55"/>
      <c r="L55" s="55"/>
      <c r="M55" s="55"/>
      <c r="N55" s="56"/>
      <c r="O55" s="153"/>
      <c r="P55"/>
      <c r="Q55"/>
      <c r="R55"/>
      <c r="S55"/>
    </row>
    <row r="56" spans="15:19" ht="12.75">
      <c r="O56" s="153"/>
      <c r="P56"/>
      <c r="Q56"/>
      <c r="R56"/>
      <c r="S56"/>
    </row>
    <row r="57" spans="15:19" ht="12.75">
      <c r="O57" s="153"/>
      <c r="P57"/>
      <c r="Q57"/>
      <c r="R57"/>
      <c r="S57"/>
    </row>
    <row r="58" spans="15:19" ht="12.75">
      <c r="O58" s="153"/>
      <c r="P58"/>
      <c r="Q58"/>
      <c r="R58"/>
      <c r="S58"/>
    </row>
  </sheetData>
  <sheetProtection password="CE5A" sheet="1" objects="1" scenarios="1"/>
  <mergeCells count="23">
    <mergeCell ref="B2:N2"/>
    <mergeCell ref="B3:N3"/>
    <mergeCell ref="H5:K5"/>
    <mergeCell ref="E5:G5"/>
    <mergeCell ref="L5:N5"/>
    <mergeCell ref="B7:C7"/>
    <mergeCell ref="E29:N29"/>
    <mergeCell ref="B30:J30"/>
    <mergeCell ref="E24:N24"/>
    <mergeCell ref="E25:N25"/>
    <mergeCell ref="E26:N26"/>
    <mergeCell ref="E27:N27"/>
    <mergeCell ref="E28:N28"/>
    <mergeCell ref="I8:M8"/>
    <mergeCell ref="H12:N12"/>
    <mergeCell ref="H38:N38"/>
    <mergeCell ref="B55:J55"/>
    <mergeCell ref="G8:G10"/>
    <mergeCell ref="B32:C32"/>
    <mergeCell ref="G33:G35"/>
    <mergeCell ref="I33:M33"/>
    <mergeCell ref="H37:N37"/>
    <mergeCell ref="H13:N13"/>
  </mergeCells>
  <conditionalFormatting sqref="H40:H48">
    <cfRule type="cellIs" priority="1" dxfId="0" operator="between" stopIfTrue="1">
      <formula>MAX($H$40:$H$48)-0.5</formula>
      <formula>MAX($H$40:$H$48)+0.5</formula>
    </cfRule>
    <cfRule type="cellIs" priority="2" dxfId="1" operator="between" stopIfTrue="1">
      <formula>MAX($H$40:$H$48)-0.5</formula>
      <formula>MAX($H$40:$H$48)-1.5</formula>
    </cfRule>
    <cfRule type="cellIs" priority="3" dxfId="1" operator="between" stopIfTrue="1">
      <formula>MAX($H$40:$H$48+0.5)</formula>
      <formula>MAX($H$40:$H$48)+1.5</formula>
    </cfRule>
  </conditionalFormatting>
  <conditionalFormatting sqref="I40:I48">
    <cfRule type="cellIs" priority="4" dxfId="0" operator="between" stopIfTrue="1">
      <formula>MAX($I$40:$I$55)-0.5</formula>
      <formula>MAX($I$40:$I$55)+0.5</formula>
    </cfRule>
    <cfRule type="cellIs" priority="5" dxfId="1" operator="between" stopIfTrue="1">
      <formula>MAX($I$40:$I$55)-0.5</formula>
      <formula>MAX($I$40:$I$55)-1.5</formula>
    </cfRule>
    <cfRule type="cellIs" priority="6" dxfId="1" operator="between" stopIfTrue="1">
      <formula>MAX($I$40:$I$55)+0.5</formula>
      <formula>MAX($I$40:$I$55)+1.5</formula>
    </cfRule>
  </conditionalFormatting>
  <conditionalFormatting sqref="J40:J48">
    <cfRule type="cellIs" priority="7" dxfId="0" operator="between" stopIfTrue="1">
      <formula>MAX($J$40:$J$55)-0.5</formula>
      <formula>MAX($J$40:$J$55)+0.5</formula>
    </cfRule>
    <cfRule type="cellIs" priority="8" dxfId="1" operator="between" stopIfTrue="1">
      <formula>MAX($J$40:$J$55)-0.5</formula>
      <formula>MAX($J$40:$J$55)-1.5</formula>
    </cfRule>
    <cfRule type="cellIs" priority="9" dxfId="1" operator="between" stopIfTrue="1">
      <formula>MAX($J$40:$J$55)+0.5</formula>
      <formula>MAX($J$40:$J$55)+1.5</formula>
    </cfRule>
  </conditionalFormatting>
  <conditionalFormatting sqref="K40:K48">
    <cfRule type="cellIs" priority="10" dxfId="0" operator="between" stopIfTrue="1">
      <formula>MAX($K$40:$K$55)-0.5</formula>
      <formula>MAX($K$40:$K$55)+0.5</formula>
    </cfRule>
    <cfRule type="cellIs" priority="11" dxfId="1" operator="between" stopIfTrue="1">
      <formula>MAX($K$40:$K$55)-0.5</formula>
      <formula>MAX($K$40:$K$55)-1.5</formula>
    </cfRule>
    <cfRule type="cellIs" priority="12" dxfId="1" operator="between" stopIfTrue="1">
      <formula>MAX($K$40:$K$55)+0.5</formula>
      <formula>MAX($K$40:$K$55)+1.5</formula>
    </cfRule>
  </conditionalFormatting>
  <conditionalFormatting sqref="L40:L48">
    <cfRule type="cellIs" priority="13" dxfId="0" operator="between" stopIfTrue="1">
      <formula>MAX($L$40:$L$55)-0.5</formula>
      <formula>MAX($L$40:$L$55)+0.5</formula>
    </cfRule>
    <cfRule type="cellIs" priority="14" dxfId="1" operator="between" stopIfTrue="1">
      <formula>MAX($L$40:$L$55)-0.5</formula>
      <formula>MAX($L$40:$L$55)-1.5</formula>
    </cfRule>
    <cfRule type="cellIs" priority="15" dxfId="1" operator="between" stopIfTrue="1">
      <formula>MAX($L$40:$L$55)+0.5</formula>
      <formula>MAX($L$40:$L$55)+1.5</formula>
    </cfRule>
  </conditionalFormatting>
  <conditionalFormatting sqref="M40:M48">
    <cfRule type="cellIs" priority="16" dxfId="0" operator="between" stopIfTrue="1">
      <formula>MAX($M$40:$M$55)-0.5</formula>
      <formula>MAX($M$40:$M$55)+0.5</formula>
    </cfRule>
    <cfRule type="cellIs" priority="17" dxfId="1" operator="between" stopIfTrue="1">
      <formula>MAX($M$40:$M$55)-0.5</formula>
      <formula>MAX($M$40:$M$55)-1.5</formula>
    </cfRule>
    <cfRule type="cellIs" priority="18" dxfId="1" operator="between" stopIfTrue="1">
      <formula>MAX($M$40:$M$55)+0.5</formula>
      <formula>MAX($M$40:$M$55)+1.5</formula>
    </cfRule>
  </conditionalFormatting>
  <conditionalFormatting sqref="N40:N48">
    <cfRule type="cellIs" priority="19" dxfId="0" operator="between" stopIfTrue="1">
      <formula>MAX($N$40:$N$55)-0.5</formula>
      <formula>MAX($N$40:$N$55)+0.5</formula>
    </cfRule>
    <cfRule type="cellIs" priority="20" dxfId="1" operator="between" stopIfTrue="1">
      <formula>MAX($N$40:$N$55)-0.5</formula>
      <formula>MAX($N$40:$N$55)-1.5</formula>
    </cfRule>
    <cfRule type="cellIs" priority="21" dxfId="1" operator="between" stopIfTrue="1">
      <formula>MAX($N$40:$N$55)+0.5</formula>
      <formula>MAX($N$40:$N$55)+1.5</formula>
    </cfRule>
  </conditionalFormatting>
  <conditionalFormatting sqref="I15:I23">
    <cfRule type="cellIs" priority="22" dxfId="0" operator="between" stopIfTrue="1">
      <formula>MAX($I$15:$I$23)-0.5</formula>
      <formula>MAX($I$15:$I$23)+0.5</formula>
    </cfRule>
    <cfRule type="cellIs" priority="23" dxfId="1" operator="between" stopIfTrue="1">
      <formula>MAX($I$15:$I$23)-0.5</formula>
      <formula>MAX($I$15:$I$23)-1.5</formula>
    </cfRule>
    <cfRule type="cellIs" priority="24" dxfId="1" operator="between" stopIfTrue="1">
      <formula>MAX($I$15:$I$23)+0.5</formula>
      <formula>MAX($I$15:$I$23)+1.5</formula>
    </cfRule>
  </conditionalFormatting>
  <conditionalFormatting sqref="J15:J23">
    <cfRule type="cellIs" priority="25" dxfId="0" operator="between" stopIfTrue="1">
      <formula>MAX($J$15:$J$23)-0.5</formula>
      <formula>MAX($J$15:$J$23)+0.5</formula>
    </cfRule>
    <cfRule type="cellIs" priority="26" dxfId="1" operator="between" stopIfTrue="1">
      <formula>MAX($J$15:$J$23)-0.5</formula>
      <formula>MAX($J$15:$J$23)-1.5</formula>
    </cfRule>
    <cfRule type="cellIs" priority="27" dxfId="1" operator="between" stopIfTrue="1">
      <formula>MAX($J$15:$J$23)+0.5</formula>
      <formula>MAX($J$15:$J$23)+1.5</formula>
    </cfRule>
  </conditionalFormatting>
  <conditionalFormatting sqref="K15:K23">
    <cfRule type="cellIs" priority="28" dxfId="0" operator="between" stopIfTrue="1">
      <formula>MAX($K$15:$K$23)-0.5</formula>
      <formula>MAX($K$15:$K$23)+0.5</formula>
    </cfRule>
    <cfRule type="cellIs" priority="29" dxfId="1" operator="between" stopIfTrue="1">
      <formula>MAX($K$15:$K$23)-0.5</formula>
      <formula>MAX($K$15:$K$23)-1.5</formula>
    </cfRule>
    <cfRule type="cellIs" priority="30" dxfId="1" operator="between" stopIfTrue="1">
      <formula>MAX($K$15:$K$23)+0.5</formula>
      <formula>MAX($K$15:$K$23)+1.5</formula>
    </cfRule>
  </conditionalFormatting>
  <conditionalFormatting sqref="L15:L23">
    <cfRule type="cellIs" priority="31" dxfId="0" operator="between" stopIfTrue="1">
      <formula>MAX($L$15:$L$23)-0.5</formula>
      <formula>MAX($L$15:$L$23)+0.5</formula>
    </cfRule>
    <cfRule type="cellIs" priority="32" dxfId="1" operator="between" stopIfTrue="1">
      <formula>MAX($L$15:$L$23)-0.5</formula>
      <formula>MAX($L$15:$L$23)-1.5</formula>
    </cfRule>
    <cfRule type="cellIs" priority="33" dxfId="1" operator="between" stopIfTrue="1">
      <formula>MAX($L$15:$L$23+0.5)</formula>
      <formula>MAX($L$15:$L$23)+1.5</formula>
    </cfRule>
  </conditionalFormatting>
  <conditionalFormatting sqref="M15:M23">
    <cfRule type="cellIs" priority="34" dxfId="0" operator="between" stopIfTrue="1">
      <formula>MAX($M$15:$M$23)-0.5</formula>
      <formula>":$M$23)+0.5"</formula>
    </cfRule>
    <cfRule type="cellIs" priority="35" dxfId="1" operator="between" stopIfTrue="1">
      <formula>MAX($M$15:$M$23)-0.5</formula>
      <formula>MAX($M$15:$M$23)-1.5</formula>
    </cfRule>
    <cfRule type="cellIs" priority="36" dxfId="1" operator="between" stopIfTrue="1">
      <formula>MAX($M$15:$M$23)+0.5</formula>
      <formula>MAX($M$15:$M$23)+1.5</formula>
    </cfRule>
  </conditionalFormatting>
  <conditionalFormatting sqref="N15:N23">
    <cfRule type="cellIs" priority="37" dxfId="0" operator="between" stopIfTrue="1">
      <formula>MAX($N$15:$N$23)-0.5</formula>
      <formula>MAX($N$15:$N$23)+0.5</formula>
    </cfRule>
    <cfRule type="cellIs" priority="38" dxfId="1" operator="between" stopIfTrue="1">
      <formula>MAX($N$15:$N$23)-0.5</formula>
      <formula>MAX($N$15:$N$23)-1.5</formula>
    </cfRule>
    <cfRule type="cellIs" priority="39" dxfId="1" operator="between" stopIfTrue="1">
      <formula>MAX($N$15:$N$23)+0.5</formula>
      <formula>MAX($N$15:$N$23)+1.5</formula>
    </cfRule>
  </conditionalFormatting>
  <conditionalFormatting sqref="H15:H23">
    <cfRule type="cellIs" priority="40" dxfId="0" operator="between" stopIfTrue="1">
      <formula>MAX($H$15:$H$23)-0.5</formula>
      <formula>MAX($H$15:$H$23)+0.5</formula>
    </cfRule>
    <cfRule type="cellIs" priority="41" dxfId="1" operator="between" stopIfTrue="1">
      <formula>MAX($H$15:$H$23)-1.5</formula>
      <formula>MAX($H$15:$H$23)-0.5</formula>
    </cfRule>
    <cfRule type="cellIs" priority="42" dxfId="1" operator="between" stopIfTrue="1">
      <formula>MAX($H$15:$H$23)+0.5</formula>
      <formula>MAX($H$15:$H$23)+1.5</formula>
    </cfRule>
  </conditionalFormatting>
  <hyperlinks>
    <hyperlink ref="E5:G5" location="'Canola MR'!A1" display="Go to Marginal Revenue Chart"/>
    <hyperlink ref="H5:J5" location="'Canola Fertilizer'!A1" display="Go to Fertilizer as variable"/>
    <hyperlink ref="L5" location="'Data Entry'!A1" display="Return to Data Entry"/>
    <hyperlink ref="G33" location="'Wheat crop price'!D47" display="Go to Total Net Return"/>
    <hyperlink ref="G33:G35" location="'Canola Crop'!D1" display="Return to Net Return"/>
    <hyperlink ref="G8" location="'Wheat crop price'!D47" display="Go to Total Net Return"/>
    <hyperlink ref="G8:G10" location="'Canola Crop'!D53" display="Go to Total Net Return Below"/>
    <hyperlink ref="H5" location="'Canola Fertilizer'!A1" display="Go to Fertilizer Price as variable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Western Co-Operative Fertilizers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Reviewer</dc:creator>
  <cp:keywords/>
  <dc:description/>
  <cp:lastModifiedBy>JHeard</cp:lastModifiedBy>
  <cp:lastPrinted>2009-04-23T03:40:37Z</cp:lastPrinted>
  <dcterms:created xsi:type="dcterms:W3CDTF">2005-11-14T20:49:37Z</dcterms:created>
  <dcterms:modified xsi:type="dcterms:W3CDTF">2009-05-04T20:09:29Z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