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330" windowHeight="4575" tabRatio="706" activeTab="0"/>
  </bookViews>
  <sheets>
    <sheet name="Introduction" sheetId="1" r:id="rId1"/>
    <sheet name="Summary" sheetId="2" r:id="rId2"/>
    <sheet name="Assumptions" sheetId="3" r:id="rId3"/>
    <sheet name="Capital Costs" sheetId="4" r:id="rId4"/>
    <sheet name="Other Costs" sheetId="5" r:id="rId5"/>
    <sheet name="Details" sheetId="6" r:id="rId6"/>
  </sheets>
  <definedNames>
    <definedName name="\C">$IV$218:$IV$218</definedName>
    <definedName name="\D">$IV$201:$IV$201</definedName>
    <definedName name="\H">$IV$187:$IV$187</definedName>
    <definedName name="\K">$IV$203:$IV$203</definedName>
    <definedName name="\N">$IV$209:$IV$209</definedName>
    <definedName name="\P">$IV$178:$IV$183</definedName>
    <definedName name="\S">$IV$199:$IV$199</definedName>
    <definedName name="\X">$IV$205:$IV$205</definedName>
    <definedName name="ALL">$IV$220:$IV$220</definedName>
    <definedName name="_xlnm.Print_Area" localSheetId="2">'Assumptions'!$A$1:$I$71</definedName>
    <definedName name="_xlnm.Print_Area" localSheetId="5">'Details'!$A$1:$J$459</definedName>
    <definedName name="T1">$IV$189:$IV$189</definedName>
    <definedName name="T2">$IV$191:$IV$191</definedName>
    <definedName name="T3">$IV$193:$IV$193</definedName>
    <definedName name="T4">$IV$195:$IV$195</definedName>
    <definedName name="T5">$IV$197:$IV$197</definedName>
  </definedNames>
  <calcPr fullCalcOnLoad="1"/>
</workbook>
</file>

<file path=xl/sharedStrings.xml><?xml version="1.0" encoding="utf-8"?>
<sst xmlns="http://schemas.openxmlformats.org/spreadsheetml/2006/main" count="952" uniqueCount="387">
  <si>
    <t>Guidelines for Estimating</t>
  </si>
  <si>
    <t>Equine Ranching Costs (PMU)</t>
  </si>
  <si>
    <t>Date:</t>
  </si>
  <si>
    <t>September, 2002</t>
  </si>
  <si>
    <t>$/Mare</t>
  </si>
  <si>
    <t>$/Gram</t>
  </si>
  <si>
    <t>Your Costs</t>
  </si>
  <si>
    <t>A.  OPERATING COSTS</t>
  </si>
  <si>
    <t>1.  Feed Costs</t>
  </si>
  <si>
    <t xml:space="preserve">    1.01  Timothy</t>
  </si>
  <si>
    <t/>
  </si>
  <si>
    <t xml:space="preserve">    1.02  Straw</t>
  </si>
  <si>
    <t xml:space="preserve">    1.03  Alfalfa/Brome Hay</t>
  </si>
  <si>
    <t xml:space="preserve">    1.04  Grain (Oats)</t>
  </si>
  <si>
    <t xml:space="preserve">    1.05  Salt Mineral Mix</t>
  </si>
  <si>
    <t xml:space="preserve">    Total Feed Costs</t>
  </si>
  <si>
    <t>2.  Other Operating Costs</t>
  </si>
  <si>
    <t xml:space="preserve">    2.01  Bedding</t>
  </si>
  <si>
    <t xml:space="preserve">    2.02  Herd Health</t>
  </si>
  <si>
    <t xml:space="preserve">    2.03  Insurance Costs</t>
  </si>
  <si>
    <t xml:space="preserve">    2.04  Maintenance &amp; Repairs</t>
  </si>
  <si>
    <t xml:space="preserve">    2.05  Pasture Costs</t>
  </si>
  <si>
    <t xml:space="preserve">    2.06  Utilities</t>
  </si>
  <si>
    <t xml:space="preserve">    2.07  Trucking Costs</t>
  </si>
  <si>
    <t xml:space="preserve">    2.08  Manure removal</t>
  </si>
  <si>
    <t xml:space="preserve">    2.09  Miscellaneous Costs</t>
  </si>
  <si>
    <t xml:space="preserve">    2.10  Death loss</t>
  </si>
  <si>
    <t xml:space="preserve">   Subtotal Operating Costs</t>
  </si>
  <si>
    <t xml:space="preserve">    2.11  Interest on Operating</t>
  </si>
  <si>
    <t xml:space="preserve">   Total Operating Costs</t>
  </si>
  <si>
    <t>B.  FIXED COSTS</t>
  </si>
  <si>
    <t>3.  Depreciation</t>
  </si>
  <si>
    <t xml:space="preserve">    3.01  Buildings</t>
  </si>
  <si>
    <t xml:space="preserve">    3.02  Machinery &amp; Equipment</t>
  </si>
  <si>
    <t>4.  Investment</t>
  </si>
  <si>
    <t xml:space="preserve">    4.01  Buildings</t>
  </si>
  <si>
    <t xml:space="preserve">    4.02  Machinery &amp; Equipment</t>
  </si>
  <si>
    <t xml:space="preserve">    4.03  Drylot</t>
  </si>
  <si>
    <t xml:space="preserve">    4.04  Breeding Herd</t>
  </si>
  <si>
    <t xml:space="preserve">   Total Fixed Costs</t>
  </si>
  <si>
    <t xml:space="preserve">   Total Operating &amp; Fixed Costs</t>
  </si>
  <si>
    <t>C.  Labour</t>
  </si>
  <si>
    <t xml:space="preserve">    5.01  In barn &amp; drylot</t>
  </si>
  <si>
    <t xml:space="preserve">    5.02  On pasture</t>
  </si>
  <si>
    <t xml:space="preserve">   Total Labour Costs</t>
  </si>
  <si>
    <t xml:space="preserve">    EQUINE RANCHING (PMU)</t>
  </si>
  <si>
    <t xml:space="preserve">  ASSUMPTIONS:</t>
  </si>
  <si>
    <t>Mares on line</t>
  </si>
  <si>
    <t xml:space="preserve"> mares</t>
  </si>
  <si>
    <t>Studs</t>
  </si>
  <si>
    <t xml:space="preserve"> studs</t>
  </si>
  <si>
    <t>Dry Mares</t>
  </si>
  <si>
    <t xml:space="preserve"> dry mares</t>
  </si>
  <si>
    <t>2-year old replacements</t>
  </si>
  <si>
    <t xml:space="preserve"> 2 yrs</t>
  </si>
  <si>
    <t>Yearlings</t>
  </si>
  <si>
    <t xml:space="preserve"> yrlys</t>
  </si>
  <si>
    <t>Annual Production/Mare (grams)</t>
  </si>
  <si>
    <t xml:space="preserve"> grams/mare</t>
  </si>
  <si>
    <t>Price per gram</t>
  </si>
  <si>
    <t xml:space="preserve"> $/gram</t>
  </si>
  <si>
    <t>Mortality - Mares &amp; Studs (%)</t>
  </si>
  <si>
    <t xml:space="preserve"> %</t>
  </si>
  <si>
    <t>Replacement rate of Herd (%)</t>
  </si>
  <si>
    <t>Mare culling value</t>
  </si>
  <si>
    <t xml:space="preserve"> /culled mare</t>
  </si>
  <si>
    <t>Mare culling weight</t>
  </si>
  <si>
    <t>lbs</t>
  </si>
  <si>
    <t xml:space="preserve"> /mare</t>
  </si>
  <si>
    <t>Foal culling value</t>
  </si>
  <si>
    <t xml:space="preserve"> /foal</t>
  </si>
  <si>
    <t>Foal culling weight</t>
  </si>
  <si>
    <t>Commission (Foals)</t>
  </si>
  <si>
    <t>Trucking Cost</t>
  </si>
  <si>
    <t xml:space="preserve"> /cwt</t>
  </si>
  <si>
    <t>Feeding Requirements and Ingredient Costs</t>
  </si>
  <si>
    <t>Feeding Schedule</t>
  </si>
  <si>
    <t>Period</t>
  </si>
  <si>
    <t>Days</t>
  </si>
  <si>
    <t xml:space="preserve">   Producing Mares</t>
  </si>
  <si>
    <t xml:space="preserve">      On line</t>
  </si>
  <si>
    <t>October - March</t>
  </si>
  <si>
    <t xml:space="preserve">      Drylot</t>
  </si>
  <si>
    <t>March - May</t>
  </si>
  <si>
    <t xml:space="preserve">      Pasture</t>
  </si>
  <si>
    <t>June - September</t>
  </si>
  <si>
    <t xml:space="preserve">   Dry Mares &amp; 2 yr olds</t>
  </si>
  <si>
    <t>October - May</t>
  </si>
  <si>
    <t xml:space="preserve">   Studs</t>
  </si>
  <si>
    <t>August - May</t>
  </si>
  <si>
    <t>June - August</t>
  </si>
  <si>
    <t xml:space="preserve">   Yearlings</t>
  </si>
  <si>
    <t>Grass</t>
  </si>
  <si>
    <t>Alfalfa</t>
  </si>
  <si>
    <t>Salt &amp;</t>
  </si>
  <si>
    <t>Hay</t>
  </si>
  <si>
    <t>Brome</t>
  </si>
  <si>
    <t>Straw</t>
  </si>
  <si>
    <t>Oats</t>
  </si>
  <si>
    <t>Min Mix</t>
  </si>
  <si>
    <t>On line</t>
  </si>
  <si>
    <t>Producing Mares</t>
  </si>
  <si>
    <t>Drylot</t>
  </si>
  <si>
    <t>Dry Mares &amp; 2yr olds</t>
  </si>
  <si>
    <t>PRICE</t>
  </si>
  <si>
    <t xml:space="preserve"> /ton</t>
  </si>
  <si>
    <t xml:space="preserve">Alfalfa/Brome Hay </t>
  </si>
  <si>
    <t>Timothy</t>
  </si>
  <si>
    <t>Salt-Mineral Mix</t>
  </si>
  <si>
    <t xml:space="preserve">  /55 lb bag</t>
  </si>
  <si>
    <t xml:space="preserve">  CAPITAL INVESTMENT</t>
  </si>
  <si>
    <t>Investment Interest Rate (%)</t>
  </si>
  <si>
    <t>Original</t>
  </si>
  <si>
    <t>Salvage</t>
  </si>
  <si>
    <t>Useful</t>
  </si>
  <si>
    <t>Value</t>
  </si>
  <si>
    <t>Value %</t>
  </si>
  <si>
    <t>Life Yrs</t>
  </si>
  <si>
    <t xml:space="preserve"> Buildings</t>
  </si>
  <si>
    <t xml:space="preserve">   Barn (100 stalls)</t>
  </si>
  <si>
    <t xml:space="preserve">   Loose housing</t>
  </si>
  <si>
    <t xml:space="preserve">  Total Building Cost</t>
  </si>
  <si>
    <t xml:space="preserve"> Machinery &amp; Equipment</t>
  </si>
  <si>
    <t xml:space="preserve">   Feed &amp; Water System </t>
  </si>
  <si>
    <t xml:space="preserve">   Halters</t>
  </si>
  <si>
    <t xml:space="preserve">   Collection Equipment</t>
  </si>
  <si>
    <t xml:space="preserve">   Tank &amp; Cooler</t>
  </si>
  <si>
    <t xml:space="preserve">   Tractor &amp; Loader</t>
  </si>
  <si>
    <t xml:space="preserve">   Total Machinery &amp; Equipment Cost</t>
  </si>
  <si>
    <t xml:space="preserve"> Land Cost</t>
  </si>
  <si>
    <t xml:space="preserve">   Drylot Value (quarter section)</t>
  </si>
  <si>
    <t xml:space="preserve"> Breeding Herd Investment</t>
  </si>
  <si>
    <t xml:space="preserve">   Mares</t>
  </si>
  <si>
    <t>/Mare</t>
  </si>
  <si>
    <t>/Stud</t>
  </si>
  <si>
    <t xml:space="preserve">   2 year olds</t>
  </si>
  <si>
    <t>/2 yrs</t>
  </si>
  <si>
    <t>/Yrly</t>
  </si>
  <si>
    <t xml:space="preserve">  Total Breeding Herd Investment</t>
  </si>
  <si>
    <t>TOTAL CAPITAL INVESTMENT</t>
  </si>
  <si>
    <t xml:space="preserve">  Other Operating Costs</t>
  </si>
  <si>
    <t xml:space="preserve">   Straw for bedding</t>
  </si>
  <si>
    <t>tons/on-line mare</t>
  </si>
  <si>
    <t>$/ton</t>
  </si>
  <si>
    <t xml:space="preserve">   Herd Health</t>
  </si>
  <si>
    <t xml:space="preserve">     De-worming (Ivomec):</t>
  </si>
  <si>
    <t xml:space="preserve">       Cost of Ivomec per Treatment</t>
  </si>
  <si>
    <t xml:space="preserve"> /treatment</t>
  </si>
  <si>
    <t xml:space="preserve">       Number of treatments:</t>
  </si>
  <si>
    <t xml:space="preserve">          On line mares</t>
  </si>
  <si>
    <t xml:space="preserve"> treatments</t>
  </si>
  <si>
    <t xml:space="preserve">          Dry mares</t>
  </si>
  <si>
    <t xml:space="preserve">          Studs</t>
  </si>
  <si>
    <t xml:space="preserve">          Replacements - yearlings &amp; 2 yrs</t>
  </si>
  <si>
    <t xml:space="preserve">     Sleeping sickness:</t>
  </si>
  <si>
    <t xml:space="preserve">       Cost of Sleeping sickness per Treatment</t>
  </si>
  <si>
    <t xml:space="preserve">          All mares</t>
  </si>
  <si>
    <t xml:space="preserve">     Rhino abortion treatment:</t>
  </si>
  <si>
    <t xml:space="preserve">       Cost of Rhino Abortion per Treatment</t>
  </si>
  <si>
    <t xml:space="preserve">     Pregnancy check (ultra-sound)/mare</t>
  </si>
  <si>
    <t xml:space="preserve">     Semen check /stud</t>
  </si>
  <si>
    <t xml:space="preserve"> /stud</t>
  </si>
  <si>
    <t xml:space="preserve">     Veterinary Services:</t>
  </si>
  <si>
    <t xml:space="preserve">       Professional services:</t>
  </si>
  <si>
    <t xml:space="preserve">          Total Yearly Hours</t>
  </si>
  <si>
    <t xml:space="preserve"> hrs</t>
  </si>
  <si>
    <t xml:space="preserve">          Charge per Hour</t>
  </si>
  <si>
    <t xml:space="preserve"> /hour</t>
  </si>
  <si>
    <t xml:space="preserve">       Transportation:</t>
  </si>
  <si>
    <t xml:space="preserve">          Total Kilometers (round trip)</t>
  </si>
  <si>
    <t xml:space="preserve"> kms</t>
  </si>
  <si>
    <t xml:space="preserve">          Charge per km</t>
  </si>
  <si>
    <t xml:space="preserve"> $/kms</t>
  </si>
  <si>
    <t xml:space="preserve">          Number of yearly visits</t>
  </si>
  <si>
    <t xml:space="preserve">   Insurance (Building,Livestock,Machinery)</t>
  </si>
  <si>
    <t xml:space="preserve">       Livestock</t>
  </si>
  <si>
    <t xml:space="preserve"> /$100</t>
  </si>
  <si>
    <t xml:space="preserve">       Building &amp; Equipment</t>
  </si>
  <si>
    <t xml:space="preserve">       Additional Coverage for liability</t>
  </si>
  <si>
    <t xml:space="preserve"> /yr</t>
  </si>
  <si>
    <t xml:space="preserve">   Maintenance &amp; Repairs:</t>
  </si>
  <si>
    <t xml:space="preserve">       Buildings</t>
  </si>
  <si>
    <t xml:space="preserve">       Equipment</t>
  </si>
  <si>
    <t xml:space="preserve">       Wash &amp; disinfect</t>
  </si>
  <si>
    <t xml:space="preserve">   Pasture costs:</t>
  </si>
  <si>
    <t xml:space="preserve">     Rental cost/head pastured</t>
  </si>
  <si>
    <t xml:space="preserve"> /hd</t>
  </si>
  <si>
    <t xml:space="preserve">   Utilities:</t>
  </si>
  <si>
    <t xml:space="preserve">     Annual hydro &amp; telephone expenses</t>
  </si>
  <si>
    <t xml:space="preserve">   Trucking costs:</t>
  </si>
  <si>
    <t xml:space="preserve">     Trucking to/from pasture</t>
  </si>
  <si>
    <t xml:space="preserve">       Custom trucking rate $/head</t>
  </si>
  <si>
    <t xml:space="preserve">     Trucking PMU</t>
  </si>
  <si>
    <t xml:space="preserve">   Manure removal:</t>
  </si>
  <si>
    <t xml:space="preserve">     Annual cost for removal</t>
  </si>
  <si>
    <t xml:space="preserve">   Miscellaneous:</t>
  </si>
  <si>
    <t xml:space="preserve">     Property taxes,office supplies,etc.</t>
  </si>
  <si>
    <t xml:space="preserve">   Operating Interest Rate (%):</t>
  </si>
  <si>
    <t xml:space="preserve">  LABOUR COSTS</t>
  </si>
  <si>
    <t xml:space="preserve"> Hours /day during on line period</t>
  </si>
  <si>
    <t xml:space="preserve"> Hours /day during pasture period</t>
  </si>
  <si>
    <t xml:space="preserve"> Labour rate / hour</t>
  </si>
  <si>
    <t xml:space="preserve"> $/hr</t>
  </si>
  <si>
    <t>EQUINE RANCHING (PMU) BUDGET WORKSHEET</t>
  </si>
  <si>
    <t>Your Cost</t>
  </si>
  <si>
    <t>1.  FEED COSTS</t>
  </si>
  <si>
    <t xml:space="preserve">  1.01  Grass Hay</t>
  </si>
  <si>
    <t>days</t>
  </si>
  <si>
    <t>x</t>
  </si>
  <si>
    <t>÷</t>
  </si>
  <si>
    <t>lbs /ton</t>
  </si>
  <si>
    <t>=</t>
  </si>
  <si>
    <t>/mare on line</t>
  </si>
  <si>
    <t xml:space="preserve">  1.02  Straw</t>
  </si>
  <si>
    <t>lbs straw/day</t>
  </si>
  <si>
    <t>/ton</t>
  </si>
  <si>
    <t xml:space="preserve">  1.03  Alfalfa/Brome Hay</t>
  </si>
  <si>
    <t>lbs hay/day</t>
  </si>
  <si>
    <t>dry mares &amp; 2 year olds</t>
  </si>
  <si>
    <t>mares on line</t>
  </si>
  <si>
    <t>studs</t>
  </si>
  <si>
    <t>yearlings</t>
  </si>
  <si>
    <t>Total Cost</t>
  </si>
  <si>
    <t xml:space="preserve">  1.04  Grain (Oats)</t>
  </si>
  <si>
    <t>lbs grain/day</t>
  </si>
  <si>
    <t xml:space="preserve">  1.05  Salt Mineral Mix</t>
  </si>
  <si>
    <t>lbs mix/day</t>
  </si>
  <si>
    <t>/bag</t>
  </si>
  <si>
    <t>lbs /bag</t>
  </si>
  <si>
    <t>2.  OTHER OPERATING COSTS</t>
  </si>
  <si>
    <t xml:space="preserve">  2.01  Bedding</t>
  </si>
  <si>
    <t xml:space="preserve">  2.02  Herd Health</t>
  </si>
  <si>
    <t>treatments (on line mares)</t>
  </si>
  <si>
    <t>+</t>
  </si>
  <si>
    <t>treatments (dry mares)</t>
  </si>
  <si>
    <t>treatments (studs)</t>
  </si>
  <si>
    <t>treatments (replacements)</t>
  </si>
  <si>
    <t>treatments (herd)</t>
  </si>
  <si>
    <t>$/treatment</t>
  </si>
  <si>
    <t>treatments (all mares)</t>
  </si>
  <si>
    <t>Pregnancy check ($/hd)</t>
  </si>
  <si>
    <t>Mares checked</t>
  </si>
  <si>
    <t>Semen check ($/hd)</t>
  </si>
  <si>
    <t>Studs checked</t>
  </si>
  <si>
    <t>Total</t>
  </si>
  <si>
    <t xml:space="preserve">   Professional services:</t>
  </si>
  <si>
    <t>/hour charge</t>
  </si>
  <si>
    <t>hours</t>
  </si>
  <si>
    <t xml:space="preserve">   Transportation:</t>
  </si>
  <si>
    <t>$/km charge</t>
  </si>
  <si>
    <t>kilometres</t>
  </si>
  <si>
    <t>visits</t>
  </si>
  <si>
    <t xml:space="preserve">  2.03  Insurance Costs</t>
  </si>
  <si>
    <t>buildg &amp; equip investment</t>
  </si>
  <si>
    <t>cost/$100 capital</t>
  </si>
  <si>
    <t>/ $100</t>
  </si>
  <si>
    <t>herd investment</t>
  </si>
  <si>
    <t>added coverage for liability</t>
  </si>
  <si>
    <t xml:space="preserve">  2.04  Maintenance &amp; Repairs</t>
  </si>
  <si>
    <t>buildings/year</t>
  </si>
  <si>
    <t>equipment/year</t>
  </si>
  <si>
    <t>wash &amp; disinfect/year</t>
  </si>
  <si>
    <t xml:space="preserve">  2.05 Pasture Costs</t>
  </si>
  <si>
    <t xml:space="preserve">  2.06  Utilities</t>
  </si>
  <si>
    <t>$/yr</t>
  </si>
  <si>
    <t xml:space="preserve">  2.07 Trucking Costs</t>
  </si>
  <si>
    <t>head pastured</t>
  </si>
  <si>
    <t>custom rate /head</t>
  </si>
  <si>
    <t xml:space="preserve">  2.08  Manure removal</t>
  </si>
  <si>
    <t xml:space="preserve">  2.09  Miscellaneous Costs</t>
  </si>
  <si>
    <t xml:space="preserve">  2.10  Death Loss</t>
  </si>
  <si>
    <t>Mare value</t>
  </si>
  <si>
    <t>Stud value</t>
  </si>
  <si>
    <t>% death loss</t>
  </si>
  <si>
    <t>Operating Interest is charged on one half of</t>
  </si>
  <si>
    <t xml:space="preserve">   the subtotal operating costs </t>
  </si>
  <si>
    <t>Subtotal operating costs</t>
  </si>
  <si>
    <t>% operating interest rate</t>
  </si>
  <si>
    <t>Depreciation costs are based on:</t>
  </si>
  <si>
    <t xml:space="preserve">  3.01 Buildings:</t>
  </si>
  <si>
    <t>original value</t>
  </si>
  <si>
    <t>-</t>
  </si>
  <si>
    <t>salvage value</t>
  </si>
  <si>
    <t>useful life (yrs.)</t>
  </si>
  <si>
    <t xml:space="preserve">  3.02  Machinery &amp;  Equipment</t>
  </si>
  <si>
    <t>4.  Investment:</t>
  </si>
  <si>
    <t>Investment Cost is Calculated:</t>
  </si>
  <si>
    <t xml:space="preserve">  4.01  Buildings</t>
  </si>
  <si>
    <t>% investment rate</t>
  </si>
  <si>
    <t xml:space="preserve">  4.02  Machinery &amp; Equipment</t>
  </si>
  <si>
    <t xml:space="preserve">  4.03  Drylot &amp; Paddock</t>
  </si>
  <si>
    <t>land value</t>
  </si>
  <si>
    <t xml:space="preserve">  4.04  Breeding Herd</t>
  </si>
  <si>
    <t>average market value</t>
  </si>
  <si>
    <t xml:space="preserve">  5.01  In barn &amp; drylot</t>
  </si>
  <si>
    <t>hrs/day</t>
  </si>
  <si>
    <t># of days</t>
  </si>
  <si>
    <t>$ rate/hr</t>
  </si>
  <si>
    <t xml:space="preserve">  5.02  On pasture</t>
  </si>
  <si>
    <t>Sales</t>
  </si>
  <si>
    <t>mares culled</t>
  </si>
  <si>
    <t>Death loss</t>
  </si>
  <si>
    <t>Cull value</t>
  </si>
  <si>
    <t>Trucking</t>
  </si>
  <si>
    <t>lbs/mare</t>
  </si>
  <si>
    <t>/cwt (trucking cost)</t>
  </si>
  <si>
    <t>lbs/cwt</t>
  </si>
  <si>
    <t>Commission</t>
  </si>
  <si>
    <t>$/mare</t>
  </si>
  <si>
    <t>Total foals born</t>
  </si>
  <si>
    <t>Foals kept</t>
  </si>
  <si>
    <t>foals culled</t>
  </si>
  <si>
    <t>lbs/foal</t>
  </si>
  <si>
    <t>$/foal</t>
  </si>
  <si>
    <t xml:space="preserve">    Mares Culled</t>
  </si>
  <si>
    <t xml:space="preserve">    Foals Culled</t>
  </si>
  <si>
    <t>Mares Net Cost</t>
  </si>
  <si>
    <t>Foals Net Cost</t>
  </si>
  <si>
    <t>Total Cull Sales</t>
  </si>
  <si>
    <t xml:space="preserve">  2.11  Interest on Operating </t>
  </si>
  <si>
    <t>Normal Production Practices</t>
  </si>
  <si>
    <t>Prepared By:</t>
  </si>
  <si>
    <t>Peter Blawat</t>
  </si>
  <si>
    <t>Farm Management Specialist</t>
  </si>
  <si>
    <t>John Corbey</t>
  </si>
  <si>
    <t xml:space="preserve">Dennis Hodgson </t>
  </si>
  <si>
    <t>Ray Salmon</t>
  </si>
  <si>
    <t>Equine Specialist</t>
  </si>
  <si>
    <t xml:space="preserve">   1. Replacement PMU mare sales;</t>
  </si>
  <si>
    <t xml:space="preserve">   2. Purebred sales;</t>
  </si>
  <si>
    <t xml:space="preserve">   3. Recreational sales;</t>
  </si>
  <si>
    <t xml:space="preserve">   4. Feeder sales.</t>
  </si>
  <si>
    <r>
      <t>PMU</t>
    </r>
    <r>
      <rPr>
        <sz val="12"/>
        <rFont val="Arial"/>
        <family val="2"/>
      </rPr>
      <t>: Mares are placed on line upon reaching an average of 120 days gestation. Expect to have 1/3 of the herd to qualify for production by mid to late October. An additional 1/3 should qualify by mid-November. Expect the barn to be filled with all the mares by early December.</t>
    </r>
  </si>
  <si>
    <r>
      <t>Foals</t>
    </r>
    <r>
      <rPr>
        <sz val="12"/>
        <rFont val="Arial"/>
        <family val="2"/>
      </rPr>
      <t>: Potential market may exist for the following:</t>
    </r>
  </si>
  <si>
    <r>
      <t xml:space="preserve">  </t>
    </r>
    <r>
      <rPr>
        <u val="single"/>
        <sz val="12"/>
        <rFont val="Arial"/>
        <family val="2"/>
      </rPr>
      <t>Original Value - Salvage Value</t>
    </r>
    <r>
      <rPr>
        <sz val="12"/>
        <rFont val="Arial"/>
        <family val="2"/>
      </rPr>
      <t xml:space="preserve"> </t>
    </r>
  </si>
  <si>
    <t>Useful Life</t>
  </si>
  <si>
    <t>Original Value + Salvage Value x Investment Rate</t>
  </si>
  <si>
    <t>average</t>
  </si>
  <si>
    <t>Turn out bonus</t>
  </si>
  <si>
    <t>$/gram</t>
  </si>
  <si>
    <t>Total Cost Of Production</t>
  </si>
  <si>
    <r>
      <t xml:space="preserve">   PMU Barn; 76' X 130' @ $28/ft</t>
    </r>
    <r>
      <rPr>
        <vertAlign val="superscript"/>
        <sz val="12"/>
        <rFont val="Arial"/>
        <family val="2"/>
      </rPr>
      <t>2</t>
    </r>
  </si>
  <si>
    <t>Stud culling value</t>
  </si>
  <si>
    <t>Stud culling weight</t>
  </si>
  <si>
    <t xml:space="preserve"> /culled stud</t>
  </si>
  <si>
    <t>Commission (Mares &amp; studs)</t>
  </si>
  <si>
    <t xml:space="preserve"> /head</t>
  </si>
  <si>
    <t>producing mares</t>
  </si>
  <si>
    <t xml:space="preserve"> /hd/day</t>
  </si>
  <si>
    <t>dry mares &amp; 2 yr olds</t>
  </si>
  <si>
    <t>TOTAL AMOUNT FED (TONS)</t>
  </si>
  <si>
    <t xml:space="preserve">    Studs Culled</t>
  </si>
  <si>
    <t>studs culled</t>
  </si>
  <si>
    <t>death loss</t>
  </si>
  <si>
    <t>cull value</t>
  </si>
  <si>
    <t>lbs/stud</t>
  </si>
  <si>
    <t>$/stud</t>
  </si>
  <si>
    <t>Studs Net Cost</t>
  </si>
  <si>
    <t>Net Total Cost Of Production</t>
  </si>
  <si>
    <t>D. Cull Sales</t>
  </si>
  <si>
    <t xml:space="preserve">  D.  Cull Sales</t>
  </si>
  <si>
    <t>For further information contact Manitoba Agriculture and Food.</t>
  </si>
  <si>
    <t xml:space="preserve">FEED </t>
  </si>
  <si>
    <t>DAILY AMOUNT FED (lbs per day)</t>
  </si>
  <si>
    <t>lbs grass hay/day</t>
  </si>
  <si>
    <t>Foal Crop %</t>
  </si>
  <si>
    <t xml:space="preserve">       Cost of treatment per head</t>
  </si>
  <si>
    <t xml:space="preserve">       % of herd treated</t>
  </si>
  <si>
    <t>% treated</t>
  </si>
  <si>
    <t xml:space="preserve">     West Nile Virus:</t>
  </si>
  <si>
    <t>treated</t>
  </si>
  <si>
    <t>West Nile Virus</t>
  </si>
  <si>
    <t>Expect the highest potency during the mid on line production period. Total production may range from 90 - 120 grams shipped per mare on line.</t>
  </si>
  <si>
    <r>
      <t>Disclaimer</t>
    </r>
    <r>
      <rPr>
        <sz val="8"/>
        <rFont val="Arial"/>
        <family val="2"/>
      </rPr>
      <t>: This budget is only a guide and is not intended as an indepth study of the cost of production of this industry. The interpretation and utilization of this information is the responsibility of the user. No liability for decisions based on this publication is assumed.</t>
    </r>
  </si>
  <si>
    <t>Dry Mares &amp; 2 year olds</t>
  </si>
  <si>
    <t>De-worming (Ivomec)</t>
  </si>
  <si>
    <t>Sleeping sickness</t>
  </si>
  <si>
    <t>Rhino abortion treatment</t>
  </si>
  <si>
    <t>Veterinary services</t>
  </si>
  <si>
    <t>Pregnancy Check</t>
  </si>
  <si>
    <t>Semen Check</t>
  </si>
  <si>
    <t>Building and Equipment</t>
  </si>
  <si>
    <t>Breeding Herd</t>
  </si>
  <si>
    <t>Additional Coverage</t>
  </si>
  <si>
    <t>Pasture trucking</t>
  </si>
  <si>
    <t xml:space="preserve">       Rate per gram</t>
  </si>
  <si>
    <t xml:space="preserve"> /gram</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</si>
</sst>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00"/>
    <numFmt numFmtId="174" formatCode="#,##0_ ;\-#,##0\ "/>
    <numFmt numFmtId="175" formatCode="#,##0.0_ ;\-#,##0.0\ "/>
    <numFmt numFmtId="176" formatCode="&quot;$&quot;#,##0.0;\-&quot;$&quot;#,##0.0"/>
    <numFmt numFmtId="177" formatCode="&quot;$&quot;#,##0"/>
    <numFmt numFmtId="178" formatCode="#,##0.00_ ;\-#,##0.00\ "/>
  </numFmts>
  <fonts count="22">
    <font>
      <sz val="10"/>
      <name val="Arial"/>
      <family val="0"/>
    </font>
    <font>
      <sz val="12"/>
      <name val="Arial"/>
      <family val="0"/>
    </font>
    <font>
      <b/>
      <sz val="12"/>
      <name val="Arial"/>
      <family val="0"/>
    </font>
    <font>
      <u val="single"/>
      <sz val="12"/>
      <name val="Arial"/>
      <family val="0"/>
    </font>
    <font>
      <sz val="18"/>
      <name val="Arial"/>
      <family val="2"/>
    </font>
    <font>
      <sz val="22"/>
      <name val="Arial"/>
      <family val="2"/>
    </font>
    <font>
      <b/>
      <sz val="10"/>
      <name val="Arial"/>
      <family val="2"/>
    </font>
    <font>
      <u val="single"/>
      <sz val="10"/>
      <name val="Arial"/>
      <family val="2"/>
    </font>
    <font>
      <b/>
      <u val="single"/>
      <sz val="12"/>
      <name val="Arial"/>
      <family val="2"/>
    </font>
    <font>
      <b/>
      <sz val="12"/>
      <color indexed="12"/>
      <name val="Arial"/>
      <family val="2"/>
    </font>
    <font>
      <b/>
      <sz val="14"/>
      <name val="Arial"/>
      <family val="2"/>
    </font>
    <font>
      <b/>
      <u val="single"/>
      <sz val="12"/>
      <color indexed="12"/>
      <name val="Arial"/>
      <family val="2"/>
    </font>
    <font>
      <b/>
      <sz val="12"/>
      <color indexed="10"/>
      <name val="Arial"/>
      <family val="2"/>
    </font>
    <font>
      <b/>
      <i/>
      <sz val="12"/>
      <color indexed="10"/>
      <name val="Arial"/>
      <family val="2"/>
    </font>
    <font>
      <sz val="14"/>
      <name val="Arial"/>
      <family val="2"/>
    </font>
    <font>
      <b/>
      <sz val="10"/>
      <color indexed="56"/>
      <name val="Arial"/>
      <family val="2"/>
    </font>
    <font>
      <vertAlign val="superscript"/>
      <sz val="12"/>
      <name val="Arial"/>
      <family val="2"/>
    </font>
    <font>
      <sz val="18"/>
      <color indexed="12"/>
      <name val="Arial"/>
      <family val="2"/>
    </font>
    <font>
      <b/>
      <sz val="22"/>
      <color indexed="12"/>
      <name val="Arial"/>
      <family val="2"/>
    </font>
    <font>
      <sz val="9"/>
      <name val="Arial"/>
      <family val="2"/>
    </font>
    <font>
      <sz val="8"/>
      <name val="Arial"/>
      <family val="2"/>
    </font>
    <font>
      <b/>
      <sz val="8"/>
      <name val="Arial"/>
      <family val="2"/>
    </font>
  </fonts>
  <fills count="3">
    <fill>
      <patternFill/>
    </fill>
    <fill>
      <patternFill patternType="gray125"/>
    </fill>
    <fill>
      <patternFill patternType="darkTrellis">
        <fgColor indexed="9"/>
        <bgColor indexed="9"/>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s>
  <cellStyleXfs count="1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44">
    <xf numFmtId="7" fontId="0" fillId="0" borderId="0" xfId="0" applyAlignment="1">
      <alignment/>
    </xf>
    <xf numFmtId="7" fontId="1" fillId="0" borderId="0" xfId="0" applyFont="1" applyAlignment="1">
      <alignment/>
    </xf>
    <xf numFmtId="7" fontId="1" fillId="0" borderId="0" xfId="0" applyFont="1" applyAlignment="1">
      <alignment/>
    </xf>
    <xf numFmtId="7" fontId="2" fillId="0" borderId="0" xfId="0" applyFont="1" applyAlignment="1">
      <alignment/>
    </xf>
    <xf numFmtId="7" fontId="6" fillId="0" borderId="0" xfId="0" applyFont="1" applyAlignment="1">
      <alignment/>
    </xf>
    <xf numFmtId="3" fontId="0" fillId="0" borderId="0" xfId="0" applyAlignment="1">
      <alignment/>
    </xf>
    <xf numFmtId="3" fontId="2" fillId="0" borderId="0" xfId="0" applyFont="1" applyAlignment="1">
      <alignment horizontal="right"/>
    </xf>
    <xf numFmtId="3" fontId="0" fillId="0" borderId="0" xfId="0" applyAlignment="1">
      <alignment horizontal="right"/>
    </xf>
    <xf numFmtId="3" fontId="0" fillId="0" borderId="0" xfId="0" applyAlignment="1">
      <alignment/>
    </xf>
    <xf numFmtId="3" fontId="0" fillId="0" borderId="0" xfId="0" applyAlignment="1">
      <alignment vertical="top" wrapText="1"/>
    </xf>
    <xf numFmtId="3" fontId="0" fillId="0" borderId="0" xfId="0" applyAlignment="1">
      <alignment vertical="top"/>
    </xf>
    <xf numFmtId="3" fontId="5" fillId="0" borderId="0" xfId="0" applyFont="1" applyAlignment="1">
      <alignment horizontal="right"/>
    </xf>
    <xf numFmtId="164" fontId="1" fillId="0" borderId="0" xfId="0" applyFont="1" applyAlignment="1">
      <alignment vertical="top"/>
    </xf>
    <xf numFmtId="1" fontId="2" fillId="0" borderId="0" xfId="0" applyFont="1" applyAlignment="1">
      <alignment vertical="top"/>
    </xf>
    <xf numFmtId="3" fontId="4" fillId="0" borderId="0" xfId="0" applyFont="1" applyAlignment="1">
      <alignment horizontal="right" vertical="top"/>
    </xf>
    <xf numFmtId="7" fontId="1" fillId="0" borderId="0" xfId="0" applyNumberFormat="1" applyFont="1" applyFill="1" applyBorder="1" applyAlignment="1" applyProtection="1">
      <alignment/>
      <protection/>
    </xf>
    <xf numFmtId="7" fontId="2" fillId="0" borderId="0" xfId="0" applyNumberFormat="1" applyFont="1" applyFill="1" applyBorder="1" applyAlignment="1" applyProtection="1">
      <alignment/>
      <protection/>
    </xf>
    <xf numFmtId="5" fontId="1" fillId="0" borderId="0" xfId="0" applyNumberFormat="1" applyFont="1" applyAlignment="1">
      <alignment/>
    </xf>
    <xf numFmtId="7" fontId="8" fillId="0" borderId="0" xfId="0" applyFont="1" applyAlignment="1">
      <alignment/>
    </xf>
    <xf numFmtId="7" fontId="1" fillId="0" borderId="0" xfId="0" applyNumberFormat="1" applyFont="1" applyFill="1" applyBorder="1" applyAlignment="1" applyProtection="1">
      <alignment/>
      <protection/>
    </xf>
    <xf numFmtId="7" fontId="1" fillId="0" borderId="1" xfId="0" applyNumberFormat="1" applyFont="1" applyFill="1" applyBorder="1" applyAlignment="1" applyProtection="1">
      <alignment/>
      <protection/>
    </xf>
    <xf numFmtId="5" fontId="1" fillId="0" borderId="0"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7" fontId="1" fillId="0" borderId="0" xfId="0" applyFont="1" applyBorder="1" applyAlignment="1">
      <alignment/>
    </xf>
    <xf numFmtId="7" fontId="3" fillId="0" borderId="0" xfId="0" applyNumberFormat="1" applyFont="1" applyFill="1" applyBorder="1" applyAlignment="1" applyProtection="1">
      <alignment/>
      <protection/>
    </xf>
    <xf numFmtId="3" fontId="9" fillId="0" borderId="0" xfId="0" applyNumberFormat="1" applyFont="1" applyAlignment="1" applyProtection="1">
      <alignment/>
      <protection locked="0"/>
    </xf>
    <xf numFmtId="7" fontId="8" fillId="0" borderId="0" xfId="0" applyFont="1" applyAlignment="1">
      <alignment horizontal="center"/>
    </xf>
    <xf numFmtId="5" fontId="2" fillId="0" borderId="0" xfId="0" applyNumberFormat="1" applyFont="1" applyAlignment="1">
      <alignment/>
    </xf>
    <xf numFmtId="5" fontId="3" fillId="0" borderId="0" xfId="0" applyNumberFormat="1" applyFont="1" applyAlignment="1">
      <alignment/>
    </xf>
    <xf numFmtId="7" fontId="2" fillId="0" borderId="0" xfId="0" applyFont="1" applyAlignment="1">
      <alignment horizontal="center"/>
    </xf>
    <xf numFmtId="3" fontId="3" fillId="0" borderId="0" xfId="0" applyNumberFormat="1" applyFont="1" applyFill="1" applyBorder="1" applyAlignment="1" applyProtection="1">
      <alignment/>
      <protection/>
    </xf>
    <xf numFmtId="7" fontId="2" fillId="0" borderId="0" xfId="0" applyNumberFormat="1" applyFont="1" applyFill="1" applyBorder="1" applyAlignment="1" applyProtection="1">
      <alignment horizontal="center"/>
      <protection/>
    </xf>
    <xf numFmtId="7" fontId="1" fillId="0" borderId="0" xfId="0" applyNumberFormat="1" applyFont="1" applyFill="1" applyBorder="1" applyAlignment="1" applyProtection="1">
      <alignment horizontal="center"/>
      <protection/>
    </xf>
    <xf numFmtId="7" fontId="3" fillId="0" borderId="0" xfId="0" applyNumberFormat="1" applyFont="1" applyFill="1" applyBorder="1" applyAlignment="1" applyProtection="1">
      <alignment horizontal="center"/>
      <protection/>
    </xf>
    <xf numFmtId="0" fontId="9" fillId="0" borderId="0" xfId="0" applyNumberFormat="1" applyFont="1" applyAlignment="1" applyProtection="1">
      <alignment/>
      <protection locked="0"/>
    </xf>
    <xf numFmtId="5" fontId="9" fillId="0" borderId="0" xfId="0" applyNumberFormat="1" applyFont="1" applyAlignment="1" applyProtection="1">
      <alignment/>
      <protection locked="0"/>
    </xf>
    <xf numFmtId="5" fontId="11" fillId="0" borderId="0" xfId="0" applyNumberFormat="1" applyFont="1" applyAlignment="1" applyProtection="1">
      <alignment/>
      <protection locked="0"/>
    </xf>
    <xf numFmtId="7" fontId="9" fillId="0" borderId="0" xfId="0" applyFont="1" applyAlignment="1" applyProtection="1">
      <alignment/>
      <protection locked="0"/>
    </xf>
    <xf numFmtId="172" fontId="9" fillId="0" borderId="0" xfId="0" applyNumberFormat="1" applyFont="1" applyAlignment="1" applyProtection="1">
      <alignment/>
      <protection locked="0"/>
    </xf>
    <xf numFmtId="7" fontId="12" fillId="2" borderId="0" xfId="0" applyNumberFormat="1" applyFont="1" applyFill="1" applyBorder="1" applyAlignment="1" applyProtection="1">
      <alignment/>
      <protection/>
    </xf>
    <xf numFmtId="7" fontId="2" fillId="0" borderId="0" xfId="0" applyFont="1" applyAlignment="1">
      <alignment horizontal="left"/>
    </xf>
    <xf numFmtId="7" fontId="8" fillId="0" borderId="0" xfId="0" applyNumberFormat="1" applyFont="1" applyFill="1" applyBorder="1" applyAlignment="1" applyProtection="1">
      <alignment horizontal="center"/>
      <protection/>
    </xf>
    <xf numFmtId="7" fontId="1" fillId="0" borderId="2" xfId="0" applyFont="1" applyBorder="1" applyAlignment="1" applyProtection="1">
      <alignment/>
      <protection locked="0"/>
    </xf>
    <xf numFmtId="7" fontId="1" fillId="0" borderId="3" xfId="0" applyFont="1" applyBorder="1" applyAlignment="1" applyProtection="1">
      <alignment/>
      <protection locked="0"/>
    </xf>
    <xf numFmtId="7" fontId="13" fillId="0" borderId="0" xfId="0" applyNumberFormat="1" applyFont="1" applyFill="1" applyBorder="1" applyAlignment="1" applyProtection="1">
      <alignment/>
      <protection/>
    </xf>
    <xf numFmtId="173" fontId="9" fillId="0" borderId="0" xfId="0" applyNumberFormat="1" applyFont="1" applyAlignment="1" applyProtection="1">
      <alignment/>
      <protection locked="0"/>
    </xf>
    <xf numFmtId="8" fontId="3" fillId="0" borderId="0" xfId="0" applyNumberFormat="1" applyFont="1" applyFill="1" applyBorder="1" applyAlignment="1" applyProtection="1">
      <alignment/>
      <protection/>
    </xf>
    <xf numFmtId="7" fontId="2" fillId="0" borderId="0" xfId="0" applyNumberFormat="1" applyFont="1" applyFill="1" applyBorder="1" applyAlignment="1" applyProtection="1">
      <alignment horizontal="right"/>
      <protection/>
    </xf>
    <xf numFmtId="7" fontId="1" fillId="0" borderId="0" xfId="0" applyNumberFormat="1" applyFont="1" applyFill="1" applyBorder="1" applyAlignment="1" applyProtection="1">
      <alignment horizontal="right"/>
      <protection/>
    </xf>
    <xf numFmtId="3" fontId="1" fillId="0" borderId="0" xfId="0" applyNumberFormat="1" applyFont="1" applyAlignment="1">
      <alignment horizontal="right"/>
    </xf>
    <xf numFmtId="4" fontId="9" fillId="0" borderId="0" xfId="0" applyNumberFormat="1" applyFont="1" applyAlignment="1" applyProtection="1">
      <alignment/>
      <protection locked="0"/>
    </xf>
    <xf numFmtId="4" fontId="9" fillId="0" borderId="0" xfId="0" applyNumberFormat="1" applyFont="1" applyAlignment="1" applyProtection="1">
      <alignment/>
      <protection locked="0"/>
    </xf>
    <xf numFmtId="173" fontId="9" fillId="0" borderId="0" xfId="0" applyNumberFormat="1" applyFont="1" applyAlignment="1" applyProtection="1">
      <alignment/>
      <protection locked="0"/>
    </xf>
    <xf numFmtId="3" fontId="9" fillId="0" borderId="0" xfId="0" applyNumberFormat="1" applyFont="1" applyAlignment="1" applyProtection="1">
      <alignment/>
      <protection locked="0"/>
    </xf>
    <xf numFmtId="7" fontId="2" fillId="0" borderId="0" xfId="0" applyFont="1" applyAlignment="1" applyProtection="1">
      <alignment horizontal="center" vertical="center" wrapText="1"/>
      <protection/>
    </xf>
    <xf numFmtId="7" fontId="2" fillId="0" borderId="0" xfId="0" applyFont="1" applyAlignment="1" applyProtection="1">
      <alignment horizontal="center" vertical="center"/>
      <protection/>
    </xf>
    <xf numFmtId="7" fontId="2" fillId="0" borderId="0" xfId="0" applyFont="1" applyAlignment="1" applyProtection="1">
      <alignment/>
      <protection/>
    </xf>
    <xf numFmtId="7" fontId="8" fillId="0" borderId="0" xfId="0" applyFont="1" applyAlignment="1" applyProtection="1">
      <alignment horizontal="center" vertical="center"/>
      <protection/>
    </xf>
    <xf numFmtId="7" fontId="8" fillId="0" borderId="0" xfId="0" applyFont="1" applyAlignment="1" applyProtection="1">
      <alignment/>
      <protection/>
    </xf>
    <xf numFmtId="7" fontId="8" fillId="0" borderId="0" xfId="0" applyFont="1" applyAlignment="1" applyProtection="1">
      <alignment horizontal="left" vertical="center"/>
      <protection/>
    </xf>
    <xf numFmtId="7" fontId="1" fillId="0" borderId="0" xfId="0" applyFont="1" applyAlignment="1" applyProtection="1">
      <alignment/>
      <protection/>
    </xf>
    <xf numFmtId="7" fontId="1" fillId="0" borderId="0" xfId="0" applyFont="1" applyAlignment="1" applyProtection="1">
      <alignment horizontal="left" vertical="center"/>
      <protection/>
    </xf>
    <xf numFmtId="172" fontId="1" fillId="0" borderId="0" xfId="0" applyNumberFormat="1" applyFont="1" applyAlignment="1" applyProtection="1">
      <alignment/>
      <protection/>
    </xf>
    <xf numFmtId="172" fontId="1" fillId="0" borderId="0" xfId="0" applyNumberFormat="1" applyFont="1" applyAlignment="1" applyProtection="1">
      <alignment vertical="center"/>
      <protection/>
    </xf>
    <xf numFmtId="7" fontId="1" fillId="0" borderId="0" xfId="0" applyFont="1" applyAlignment="1" applyProtection="1">
      <alignment horizontal="center" vertical="center"/>
      <protection/>
    </xf>
    <xf numFmtId="7" fontId="1" fillId="0" borderId="0" xfId="0" applyFont="1" applyAlignment="1" applyProtection="1">
      <alignment/>
      <protection/>
    </xf>
    <xf numFmtId="172" fontId="3" fillId="0" borderId="0" xfId="0" applyNumberFormat="1" applyFont="1" applyAlignment="1" applyProtection="1">
      <alignment/>
      <protection/>
    </xf>
    <xf numFmtId="172" fontId="9" fillId="0" borderId="0" xfId="0" applyNumberFormat="1" applyFont="1" applyAlignment="1" applyProtection="1">
      <alignment vertical="center"/>
      <protection locked="0"/>
    </xf>
    <xf numFmtId="175" fontId="9" fillId="0" borderId="0" xfId="0" applyNumberFormat="1" applyFont="1" applyAlignment="1" applyProtection="1">
      <alignment/>
      <protection locked="0"/>
    </xf>
    <xf numFmtId="7" fontId="1" fillId="0" borderId="0" xfId="0" applyFont="1" applyAlignment="1" applyProtection="1">
      <alignment horizontal="centerContinuous" vertical="center" wrapText="1"/>
      <protection/>
    </xf>
    <xf numFmtId="3" fontId="8" fillId="0" borderId="0" xfId="0" applyNumberFormat="1" applyFont="1" applyBorder="1" applyAlignment="1" applyProtection="1">
      <alignment horizontal="center"/>
      <protection/>
    </xf>
    <xf numFmtId="7" fontId="8" fillId="0" borderId="0" xfId="0" applyFont="1" applyAlignment="1" applyProtection="1">
      <alignment horizontal="center"/>
      <protection/>
    </xf>
    <xf numFmtId="5" fontId="1" fillId="0" borderId="0" xfId="0" applyNumberFormat="1" applyFont="1" applyAlignment="1" applyProtection="1">
      <alignment/>
      <protection/>
    </xf>
    <xf numFmtId="7" fontId="1" fillId="0" borderId="2" xfId="0" applyFont="1" applyBorder="1" applyAlignment="1" applyProtection="1">
      <alignment/>
      <protection/>
    </xf>
    <xf numFmtId="7" fontId="3" fillId="0" borderId="0" xfId="0" applyFont="1" applyBorder="1" applyAlignment="1" applyProtection="1">
      <alignment/>
      <protection/>
    </xf>
    <xf numFmtId="7" fontId="1" fillId="0" borderId="0" xfId="0" applyFont="1" applyAlignment="1" applyProtection="1">
      <alignment/>
      <protection/>
    </xf>
    <xf numFmtId="5" fontId="3" fillId="0" borderId="0" xfId="0" applyNumberFormat="1" applyFont="1" applyBorder="1" applyAlignment="1" applyProtection="1">
      <alignment/>
      <protection/>
    </xf>
    <xf numFmtId="0" fontId="1" fillId="0" borderId="0" xfId="0" applyNumberFormat="1" applyFont="1" applyAlignment="1" applyProtection="1">
      <alignment/>
      <protection/>
    </xf>
    <xf numFmtId="7" fontId="3" fillId="0" borderId="0" xfId="0" applyFont="1" applyAlignment="1" applyProtection="1">
      <alignment/>
      <protection/>
    </xf>
    <xf numFmtId="7" fontId="2" fillId="0" borderId="0" xfId="0" applyFont="1" applyAlignment="1" applyProtection="1">
      <alignment/>
      <protection/>
    </xf>
    <xf numFmtId="7" fontId="19" fillId="0" borderId="0" xfId="0" applyFont="1" applyAlignment="1" applyProtection="1">
      <alignment/>
      <protection/>
    </xf>
    <xf numFmtId="7" fontId="1" fillId="0" borderId="0" xfId="0" applyFont="1" applyFill="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7" fontId="8" fillId="0" borderId="0" xfId="0" applyFont="1" applyAlignment="1" applyProtection="1">
      <alignment horizontal="centerContinuous" vertical="center" wrapText="1"/>
      <protection/>
    </xf>
    <xf numFmtId="7" fontId="8" fillId="0" borderId="0" xfId="0" applyFont="1" applyAlignment="1" applyProtection="1">
      <alignment/>
      <protection/>
    </xf>
    <xf numFmtId="7" fontId="8" fillId="0" borderId="0" xfId="0" applyFont="1" applyBorder="1" applyAlignment="1" applyProtection="1">
      <alignment horizontal="centerContinuous" vertical="center" wrapText="1"/>
      <protection/>
    </xf>
    <xf numFmtId="7" fontId="7" fillId="0" borderId="0" xfId="0" applyFont="1" applyBorder="1" applyAlignment="1" applyProtection="1">
      <alignment horizontal="centerContinuous" vertical="center" wrapText="1"/>
      <protection/>
    </xf>
    <xf numFmtId="3" fontId="1" fillId="0" borderId="0" xfId="0" applyNumberFormat="1" applyFont="1" applyAlignment="1" applyProtection="1">
      <alignment/>
      <protection/>
    </xf>
    <xf numFmtId="7" fontId="0" fillId="0" borderId="0" xfId="0" applyFont="1" applyAlignment="1" applyProtection="1">
      <alignment horizontal="centerContinuous" vertical="center"/>
      <protection/>
    </xf>
    <xf numFmtId="7" fontId="9" fillId="0" borderId="0" xfId="0" applyFont="1" applyAlignment="1" applyProtection="1">
      <alignment horizontal="center" vertical="center"/>
      <protection/>
    </xf>
    <xf numFmtId="7" fontId="9" fillId="0" borderId="0" xfId="0" applyFont="1" applyAlignment="1" applyProtection="1">
      <alignment/>
      <protection/>
    </xf>
    <xf numFmtId="7" fontId="3" fillId="0" borderId="0" xfId="0" applyFont="1" applyAlignment="1" applyProtection="1">
      <alignment/>
      <protection/>
    </xf>
    <xf numFmtId="7" fontId="3" fillId="0" borderId="0" xfId="0" applyFont="1" applyAlignment="1" applyProtection="1">
      <alignment horizontal="center"/>
      <protection/>
    </xf>
    <xf numFmtId="7" fontId="1" fillId="2" borderId="0" xfId="0" applyFont="1" applyFill="1" applyAlignment="1" applyProtection="1">
      <alignment/>
      <protection/>
    </xf>
    <xf numFmtId="7" fontId="1" fillId="2" borderId="0" xfId="0" applyFont="1" applyFill="1" applyBorder="1" applyAlignment="1" applyProtection="1">
      <alignment/>
      <protection/>
    </xf>
    <xf numFmtId="3" fontId="3" fillId="0" borderId="0" xfId="0" applyNumberFormat="1" applyFont="1" applyBorder="1" applyAlignment="1" applyProtection="1">
      <alignment/>
      <protection/>
    </xf>
    <xf numFmtId="7" fontId="1" fillId="0" borderId="0" xfId="0" applyFont="1" applyBorder="1" applyAlignment="1" applyProtection="1">
      <alignment/>
      <protection/>
    </xf>
    <xf numFmtId="7" fontId="2" fillId="0" borderId="0" xfId="0" applyFont="1" applyAlignment="1" applyProtection="1">
      <alignment horizontal="center"/>
      <protection/>
    </xf>
    <xf numFmtId="178" fontId="1" fillId="0" borderId="0" xfId="0" applyNumberFormat="1" applyFont="1" applyAlignment="1" applyProtection="1">
      <alignment/>
      <protection/>
    </xf>
    <xf numFmtId="7" fontId="3" fillId="0" borderId="0" xfId="0" applyFont="1" applyBorder="1" applyAlignment="1" applyProtection="1">
      <alignment/>
      <protection/>
    </xf>
    <xf numFmtId="7" fontId="1" fillId="0" borderId="0" xfId="0" applyFont="1" applyBorder="1" applyAlignment="1" applyProtection="1">
      <alignment/>
      <protection/>
    </xf>
    <xf numFmtId="7" fontId="2" fillId="0" borderId="0" xfId="0" applyFont="1" applyAlignment="1" applyProtection="1">
      <alignment/>
      <protection/>
    </xf>
    <xf numFmtId="3" fontId="3" fillId="0" borderId="0" xfId="0" applyNumberFormat="1" applyFont="1" applyAlignment="1" applyProtection="1">
      <alignment/>
      <protection/>
    </xf>
    <xf numFmtId="7" fontId="1" fillId="0" borderId="0" xfId="0" applyFont="1" applyAlignment="1" applyProtection="1">
      <alignment horizontal="center"/>
      <protection/>
    </xf>
    <xf numFmtId="174" fontId="1" fillId="0" borderId="0" xfId="0" applyNumberFormat="1" applyFont="1" applyAlignment="1" applyProtection="1">
      <alignment/>
      <protection/>
    </xf>
    <xf numFmtId="174" fontId="3" fillId="0" borderId="0" xfId="0" applyNumberFormat="1" applyFont="1" applyAlignment="1" applyProtection="1">
      <alignment/>
      <protection/>
    </xf>
    <xf numFmtId="3" fontId="1" fillId="0" borderId="0" xfId="0" applyNumberFormat="1" applyFont="1" applyAlignment="1" applyProtection="1">
      <alignment/>
      <protection/>
    </xf>
    <xf numFmtId="172" fontId="3" fillId="0" borderId="0" xfId="0" applyNumberFormat="1" applyFont="1" applyBorder="1" applyAlignment="1" applyProtection="1">
      <alignment/>
      <protection/>
    </xf>
    <xf numFmtId="177" fontId="1" fillId="0" borderId="0" xfId="0" applyNumberFormat="1" applyFont="1" applyAlignment="1" applyProtection="1">
      <alignment/>
      <protection/>
    </xf>
    <xf numFmtId="177" fontId="1" fillId="0" borderId="0" xfId="0" applyNumberFormat="1" applyFont="1" applyBorder="1" applyAlignment="1" applyProtection="1">
      <alignment/>
      <protection/>
    </xf>
    <xf numFmtId="4" fontId="3" fillId="0" borderId="0" xfId="0" applyNumberFormat="1" applyFont="1" applyBorder="1" applyAlignment="1" applyProtection="1">
      <alignment/>
      <protection/>
    </xf>
    <xf numFmtId="177" fontId="3" fillId="0" borderId="0" xfId="0" applyNumberFormat="1" applyFont="1" applyAlignment="1" applyProtection="1">
      <alignment/>
      <protection/>
    </xf>
    <xf numFmtId="177" fontId="2" fillId="0" borderId="0" xfId="0" applyNumberFormat="1" applyFont="1" applyAlignment="1" applyProtection="1">
      <alignment/>
      <protection/>
    </xf>
    <xf numFmtId="7" fontId="1" fillId="0" borderId="0" xfId="0" applyFont="1" applyAlignment="1" applyProtection="1">
      <alignment horizontal="right"/>
      <protection/>
    </xf>
    <xf numFmtId="0" fontId="1" fillId="0" borderId="1"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horizontal="right"/>
      <protection/>
    </xf>
    <xf numFmtId="4" fontId="1" fillId="0" borderId="0" xfId="0" applyNumberFormat="1" applyFont="1" applyAlignment="1" applyProtection="1">
      <alignment/>
      <protection/>
    </xf>
    <xf numFmtId="7" fontId="1" fillId="0" borderId="0" xfId="0" applyNumberFormat="1" applyFont="1" applyAlignment="1" applyProtection="1">
      <alignment/>
      <protection/>
    </xf>
    <xf numFmtId="1" fontId="1" fillId="0" borderId="0" xfId="0" applyNumberFormat="1" applyFont="1" applyAlignment="1" applyProtection="1">
      <alignment/>
      <protection/>
    </xf>
    <xf numFmtId="0" fontId="2" fillId="0" borderId="0" xfId="0" applyNumberFormat="1" applyFont="1" applyAlignment="1" applyProtection="1">
      <alignment/>
      <protection/>
    </xf>
    <xf numFmtId="0" fontId="3" fillId="0" borderId="0" xfId="0" applyNumberFormat="1" applyFont="1" applyBorder="1" applyAlignment="1" applyProtection="1">
      <alignment/>
      <protection/>
    </xf>
    <xf numFmtId="0" fontId="3" fillId="0" borderId="0" xfId="0" applyNumberFormat="1" applyFont="1" applyAlignment="1" applyProtection="1">
      <alignment/>
      <protection/>
    </xf>
    <xf numFmtId="0" fontId="2" fillId="0" borderId="0" xfId="0" applyFont="1" applyAlignment="1" applyProtection="1">
      <alignment/>
      <protection/>
    </xf>
    <xf numFmtId="3" fontId="17" fillId="0" borderId="0" xfId="0" applyFont="1" applyAlignment="1">
      <alignment horizontal="center" vertical="top" wrapText="1"/>
    </xf>
    <xf numFmtId="7" fontId="0" fillId="0" borderId="0" xfId="0" applyAlignment="1">
      <alignment horizontal="center" vertical="top" wrapText="1"/>
    </xf>
    <xf numFmtId="3" fontId="18" fillId="0" borderId="0" xfId="0" applyFont="1" applyAlignment="1">
      <alignment horizontal="center" vertical="top" wrapText="1"/>
    </xf>
    <xf numFmtId="7" fontId="6" fillId="0" borderId="0" xfId="0" applyFont="1" applyAlignment="1">
      <alignment horizontal="center" vertical="top" wrapText="1"/>
    </xf>
    <xf numFmtId="7" fontId="17" fillId="0" borderId="0" xfId="0" applyFont="1" applyAlignment="1">
      <alignment horizontal="center" vertical="top" wrapText="1"/>
    </xf>
    <xf numFmtId="7" fontId="2" fillId="0" borderId="0" xfId="0" applyNumberFormat="1" applyFont="1" applyFill="1" applyBorder="1" applyAlignment="1" applyProtection="1">
      <alignment horizontal="center" vertical="center" wrapText="1"/>
      <protection/>
    </xf>
    <xf numFmtId="7" fontId="0" fillId="0" borderId="0" xfId="0" applyAlignment="1" applyProtection="1">
      <alignment horizontal="center" vertical="center" wrapText="1"/>
      <protection/>
    </xf>
    <xf numFmtId="7" fontId="21" fillId="0" borderId="0" xfId="0" applyFont="1" applyAlignment="1" applyProtection="1">
      <alignment vertical="top" wrapText="1"/>
      <protection/>
    </xf>
    <xf numFmtId="7" fontId="20" fillId="0" borderId="0" xfId="0" applyFont="1" applyAlignment="1" applyProtection="1">
      <alignment vertical="top" wrapText="1"/>
      <protection/>
    </xf>
    <xf numFmtId="7" fontId="8" fillId="0" borderId="0" xfId="0" applyFont="1" applyAlignment="1" applyProtection="1">
      <alignment horizontal="center" vertical="center" wrapText="1"/>
      <protection/>
    </xf>
    <xf numFmtId="7" fontId="7" fillId="0" borderId="0" xfId="0" applyFont="1" applyAlignment="1" applyProtection="1">
      <alignment horizontal="center" vertical="center" wrapText="1"/>
      <protection/>
    </xf>
    <xf numFmtId="7" fontId="2" fillId="0" borderId="0" xfId="0" applyFont="1" applyAlignment="1" applyProtection="1">
      <alignment horizontal="center" vertical="center" wrapText="1"/>
      <protection/>
    </xf>
    <xf numFmtId="7" fontId="10" fillId="0" borderId="0" xfId="0" applyFont="1" applyAlignment="1">
      <alignment horizontal="center" vertical="center" wrapText="1"/>
    </xf>
    <xf numFmtId="7" fontId="10" fillId="0" borderId="0" xfId="0" applyFont="1" applyAlignment="1" applyProtection="1">
      <alignment horizontal="center" vertical="center" wrapText="1"/>
      <protection/>
    </xf>
    <xf numFmtId="7" fontId="1" fillId="0" borderId="0" xfId="0" applyFont="1" applyAlignment="1" applyProtection="1">
      <alignment vertical="top" wrapText="1"/>
      <protection/>
    </xf>
    <xf numFmtId="7" fontId="1" fillId="0" borderId="0" xfId="0" applyFont="1" applyAlignment="1" applyProtection="1">
      <alignment horizontal="center" wrapText="1"/>
      <protection/>
    </xf>
    <xf numFmtId="7" fontId="10" fillId="0" borderId="0" xfId="0" applyNumberFormat="1" applyFont="1" applyFill="1" applyBorder="1" applyAlignment="1" applyProtection="1">
      <alignment horizontal="center" vertical="center" wrapText="1"/>
      <protection/>
    </xf>
    <xf numFmtId="7" fontId="14" fillId="0" borderId="0" xfId="0" applyFont="1" applyAlignment="1" applyProtection="1">
      <alignment horizontal="center" vertical="center" wrapText="1"/>
      <protection/>
    </xf>
    <xf numFmtId="7" fontId="2" fillId="0" borderId="0" xfId="0" applyFont="1" applyAlignment="1" applyProtection="1">
      <alignment vertical="top"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95250</xdr:rowOff>
    </xdr:from>
    <xdr:to>
      <xdr:col>8</xdr:col>
      <xdr:colOff>628650</xdr:colOff>
      <xdr:row>42</xdr:row>
      <xdr:rowOff>114300</xdr:rowOff>
    </xdr:to>
    <xdr:sp>
      <xdr:nvSpPr>
        <xdr:cNvPr id="1" name="Text 1"/>
        <xdr:cNvSpPr txBox="1">
          <a:spLocks noChangeArrowheads="1"/>
        </xdr:cNvSpPr>
      </xdr:nvSpPr>
      <xdr:spPr>
        <a:xfrm>
          <a:off x="190500" y="2076450"/>
          <a:ext cx="5429250" cy="59055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This publication is intended to provide a budget format for an Equine Ranching (formally referred to as PMU) enterprise. The cost figures listed in this budget are estimates based on accepted production practices and current market conditions. Adjustments will be necessary when applying these figures to your own enterprise. 
Manitoba has Canada's largest herd of mares used for  pregnant mares' urine collecting. The Manitoba PMU industry contributes about $40 - 50 million in farm cash receipts to the provinces economy each year.
The assumptions on which the costs are based are outlined in the supporting pages. Productivity and performance assumptions are based on data supplied by specialists as well as data collected from numerous herds. Where individual herd productivity and performance levels differ from those listed producers are encouraged to substitute their own figures in the attached budget to develop their own cost of production.
Accurate up to date production and financial information is essential for the effective application of these guidelines to an individual operation. It is extremely important for farm managers to do detailed calculations when estimating the amount of capital required to finance inputs, livestock purchases', equipment and buildings.   </a:t>
          </a:r>
          <a:r>
            <a:rPr lang="en-US" cap="none" sz="1000" b="0" i="0" u="none" baseline="0">
              <a:latin typeface="Arial"/>
              <a:ea typeface="Arial"/>
              <a:cs typeface="Arial"/>
            </a:rPr>
            <a:t> 
</a:t>
          </a:r>
          <a:r>
            <a:rPr lang="en-US" cap="none" sz="1200" b="1" i="0" u="none" baseline="0">
              <a:latin typeface="Arial"/>
              <a:ea typeface="Arial"/>
              <a:cs typeface="Arial"/>
            </a:rPr>
            <a:t>Disclaimer</a:t>
          </a:r>
          <a:r>
            <a:rPr lang="en-US" cap="none" sz="1000" b="1" i="0" u="none" baseline="0">
              <a:latin typeface="Arial"/>
              <a:ea typeface="Arial"/>
              <a:cs typeface="Arial"/>
            </a:rPr>
            <a:t>:</a:t>
          </a:r>
          <a:r>
            <a:rPr lang="en-US" cap="none" sz="1200" b="0" i="0" u="none" baseline="0">
              <a:latin typeface="Arial"/>
              <a:ea typeface="Arial"/>
              <a:cs typeface="Arial"/>
            </a:rPr>
            <a:t> This budget is only a guide and is not intended as an in depth study of the cost of production of the Manitoba Equine industry. Interpretation and utilization of this information is the responsibility of the user. If you require assistance with developing your individual budget, please contact your local MAF Farm Management Specialist or Regional Livestock Specialist.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41"/>
  <sheetViews>
    <sheetView showGridLines="0" tabSelected="1" workbookViewId="0" topLeftCell="A1">
      <selection activeCell="A1" sqref="A1"/>
    </sheetView>
  </sheetViews>
  <sheetFormatPr defaultColWidth="9.140625" defaultRowHeight="12.75"/>
  <cols>
    <col min="1" max="1" width="2.8515625" style="0" customWidth="1"/>
    <col min="2" max="16384" width="10.28125" style="0" customWidth="1"/>
  </cols>
  <sheetData>
    <row r="1" spans="1:4" ht="23.25">
      <c r="A1" s="5"/>
      <c r="B1" s="14"/>
      <c r="C1" s="14"/>
      <c r="D1" s="14"/>
    </row>
    <row r="2" spans="1:3" ht="27">
      <c r="A2" s="5"/>
      <c r="B2" s="11"/>
      <c r="C2" s="11"/>
    </row>
    <row r="3" spans="1:9" ht="25.5" customHeight="1">
      <c r="A3" s="5"/>
      <c r="B3" s="125" t="s">
        <v>0</v>
      </c>
      <c r="C3" s="126"/>
      <c r="D3" s="126"/>
      <c r="E3" s="126"/>
      <c r="F3" s="126"/>
      <c r="G3" s="126"/>
      <c r="H3" s="126"/>
      <c r="I3" s="126"/>
    </row>
    <row r="4" spans="1:9" ht="30.75" customHeight="1">
      <c r="A4" s="5"/>
      <c r="B4" s="127" t="s">
        <v>1</v>
      </c>
      <c r="C4" s="128"/>
      <c r="D4" s="128"/>
      <c r="E4" s="128"/>
      <c r="F4" s="128"/>
      <c r="G4" s="128"/>
      <c r="H4" s="128"/>
      <c r="I4" s="128"/>
    </row>
    <row r="5" spans="1:9" ht="22.5" customHeight="1">
      <c r="A5" s="5"/>
      <c r="B5" s="129" t="str">
        <f>"Based on "&amp;Assumptions!G5&amp;" mares on line"</f>
        <v>Based on 100 mares on line</v>
      </c>
      <c r="C5" s="126"/>
      <c r="D5" s="126"/>
      <c r="E5" s="126"/>
      <c r="F5" s="126"/>
      <c r="G5" s="126"/>
      <c r="H5" s="126"/>
      <c r="I5" s="126"/>
    </row>
    <row r="6" spans="1:7" ht="11.25" customHeight="1">
      <c r="A6" s="5"/>
      <c r="B6" s="5"/>
      <c r="C6" s="5"/>
      <c r="D6" s="5"/>
      <c r="E6" s="5"/>
      <c r="F6" s="5"/>
      <c r="G6" s="5"/>
    </row>
    <row r="7" spans="1:9" ht="15.75">
      <c r="A7" s="5"/>
      <c r="B7" s="5"/>
      <c r="C7" s="5"/>
      <c r="D7" s="5"/>
      <c r="E7" s="5"/>
      <c r="F7" s="6"/>
      <c r="G7" s="6" t="s">
        <v>2</v>
      </c>
      <c r="H7" s="40" t="s">
        <v>3</v>
      </c>
      <c r="I7" s="4"/>
    </row>
    <row r="8" spans="1:7" ht="12.75">
      <c r="A8" s="5"/>
      <c r="B8" s="5"/>
      <c r="C8" s="5"/>
      <c r="D8" s="5"/>
      <c r="E8" s="7"/>
      <c r="F8" s="7"/>
      <c r="G8" s="7"/>
    </row>
    <row r="9" spans="1:7" ht="15">
      <c r="A9" s="12"/>
      <c r="B9" s="10"/>
      <c r="C9" s="10"/>
      <c r="D9" s="10"/>
      <c r="E9" s="10"/>
      <c r="F9" s="10"/>
      <c r="G9" s="10"/>
    </row>
    <row r="10" spans="1:7" ht="12.75">
      <c r="A10" s="10"/>
      <c r="B10" s="10"/>
      <c r="C10" s="10"/>
      <c r="D10" s="10"/>
      <c r="E10" s="10"/>
      <c r="F10" s="10"/>
      <c r="G10" s="10"/>
    </row>
    <row r="11" spans="1:7" ht="12.75">
      <c r="A11" s="10"/>
      <c r="B11" s="10"/>
      <c r="C11" s="10"/>
      <c r="D11" s="10"/>
      <c r="E11" s="10"/>
      <c r="F11" s="10"/>
      <c r="G11" s="10"/>
    </row>
    <row r="12" spans="1:7" ht="12.75">
      <c r="A12" s="10"/>
      <c r="B12" s="10"/>
      <c r="C12" s="10"/>
      <c r="D12" s="10"/>
      <c r="E12" s="10"/>
      <c r="F12" s="10"/>
      <c r="G12" s="10"/>
    </row>
    <row r="13" spans="1:7" ht="12.75">
      <c r="A13" s="10"/>
      <c r="B13" s="10"/>
      <c r="C13" s="10"/>
      <c r="D13" s="10"/>
      <c r="E13" s="10"/>
      <c r="F13" s="10"/>
      <c r="G13" s="10"/>
    </row>
    <row r="14" spans="1:7" ht="12.75">
      <c r="A14" s="10"/>
      <c r="B14" s="10"/>
      <c r="C14" s="10"/>
      <c r="D14" s="10"/>
      <c r="E14" s="10"/>
      <c r="F14" s="10"/>
      <c r="G14" s="10"/>
    </row>
    <row r="15" spans="1:7" ht="12.75">
      <c r="A15" s="5"/>
      <c r="B15" s="5"/>
      <c r="C15" s="5"/>
      <c r="D15" s="5"/>
      <c r="E15" s="5"/>
      <c r="F15" s="5"/>
      <c r="G15" s="5"/>
    </row>
    <row r="16" spans="1:7" ht="12.75">
      <c r="A16" s="10"/>
      <c r="B16" s="10"/>
      <c r="C16" s="10"/>
      <c r="D16" s="10"/>
      <c r="E16" s="10"/>
      <c r="F16" s="10"/>
      <c r="G16" s="10"/>
    </row>
    <row r="17" spans="1:7" ht="12.75">
      <c r="A17" s="10"/>
      <c r="B17" s="10"/>
      <c r="C17" s="10"/>
      <c r="D17" s="10"/>
      <c r="E17" s="10"/>
      <c r="F17" s="10"/>
      <c r="G17" s="10"/>
    </row>
    <row r="18" spans="1:7" ht="12.75">
      <c r="A18" s="10"/>
      <c r="B18" s="10"/>
      <c r="C18" s="10"/>
      <c r="D18" s="10"/>
      <c r="E18" s="10"/>
      <c r="F18" s="10"/>
      <c r="G18" s="10"/>
    </row>
    <row r="19" spans="1:7" ht="12.75">
      <c r="A19" s="10"/>
      <c r="B19" s="10"/>
      <c r="C19" s="10"/>
      <c r="D19" s="10"/>
      <c r="E19" s="10"/>
      <c r="F19" s="10"/>
      <c r="G19" s="10"/>
    </row>
    <row r="20" spans="1:7" ht="12.75">
      <c r="A20" s="10"/>
      <c r="B20" s="10"/>
      <c r="C20" s="10"/>
      <c r="D20" s="10"/>
      <c r="E20" s="10"/>
      <c r="F20" s="10"/>
      <c r="G20" s="10"/>
    </row>
    <row r="21" spans="1:7" ht="12.75">
      <c r="A21" s="10"/>
      <c r="B21" s="10"/>
      <c r="C21" s="10"/>
      <c r="D21" s="10"/>
      <c r="E21" s="10"/>
      <c r="F21" s="10"/>
      <c r="G21" s="10"/>
    </row>
    <row r="22" spans="1:7" ht="12.75">
      <c r="A22" s="8"/>
      <c r="B22" s="8"/>
      <c r="C22" s="8"/>
      <c r="D22" s="8"/>
      <c r="E22" s="8"/>
      <c r="F22" s="8"/>
      <c r="G22" s="8"/>
    </row>
    <row r="23" spans="1:7" ht="12.75">
      <c r="A23" s="10"/>
      <c r="B23" s="10"/>
      <c r="C23" s="10"/>
      <c r="D23" s="10"/>
      <c r="E23" s="10"/>
      <c r="F23" s="10"/>
      <c r="G23" s="10"/>
    </row>
    <row r="24" spans="1:7" ht="12.75">
      <c r="A24" s="10"/>
      <c r="B24" s="10"/>
      <c r="C24" s="10"/>
      <c r="D24" s="10"/>
      <c r="E24" s="10"/>
      <c r="F24" s="10"/>
      <c r="G24" s="10"/>
    </row>
    <row r="25" spans="1:7" ht="12.75">
      <c r="A25" s="10"/>
      <c r="B25" s="10"/>
      <c r="C25" s="10"/>
      <c r="D25" s="10"/>
      <c r="E25" s="10"/>
      <c r="F25" s="10"/>
      <c r="G25" s="10"/>
    </row>
    <row r="26" spans="1:7" ht="12.75">
      <c r="A26" s="10"/>
      <c r="B26" s="10"/>
      <c r="C26" s="10"/>
      <c r="D26" s="10"/>
      <c r="E26" s="10"/>
      <c r="F26" s="10"/>
      <c r="G26" s="10"/>
    </row>
    <row r="27" spans="1:7" ht="12.75">
      <c r="A27" s="9"/>
      <c r="B27" s="9"/>
      <c r="C27" s="9"/>
      <c r="D27" s="9"/>
      <c r="E27" s="9"/>
      <c r="F27" s="9"/>
      <c r="G27" s="9"/>
    </row>
    <row r="28" spans="1:7" ht="12.75">
      <c r="A28" s="10"/>
      <c r="B28" s="10"/>
      <c r="C28" s="10"/>
      <c r="D28" s="10"/>
      <c r="E28" s="10"/>
      <c r="F28" s="10"/>
      <c r="G28" s="10"/>
    </row>
    <row r="29" spans="1:7" ht="12.75">
      <c r="A29" s="10"/>
      <c r="B29" s="10"/>
      <c r="C29" s="10"/>
      <c r="D29" s="10"/>
      <c r="E29" s="10"/>
      <c r="F29" s="10"/>
      <c r="G29" s="10"/>
    </row>
    <row r="30" spans="1:7" ht="12.75">
      <c r="A30" s="10"/>
      <c r="B30" s="10"/>
      <c r="C30" s="10"/>
      <c r="D30" s="10"/>
      <c r="E30" s="10"/>
      <c r="F30" s="10"/>
      <c r="G30" s="10"/>
    </row>
    <row r="31" spans="1:7" ht="12.75">
      <c r="A31" s="9"/>
      <c r="B31" s="9"/>
      <c r="C31" s="9"/>
      <c r="D31" s="9"/>
      <c r="E31" s="9"/>
      <c r="F31" s="9"/>
      <c r="G31" s="9"/>
    </row>
    <row r="32" spans="1:7" ht="12.75">
      <c r="A32" s="10"/>
      <c r="B32" s="10"/>
      <c r="C32" s="10"/>
      <c r="D32" s="10"/>
      <c r="E32" s="10"/>
      <c r="F32" s="10"/>
      <c r="G32" s="10"/>
    </row>
    <row r="33" spans="1:7" ht="12.75">
      <c r="A33" s="10"/>
      <c r="B33" s="10"/>
      <c r="C33" s="10"/>
      <c r="D33" s="10"/>
      <c r="E33" s="10"/>
      <c r="F33" s="10"/>
      <c r="G33" s="10"/>
    </row>
    <row r="34" spans="1:7" ht="12.75">
      <c r="A34" s="10"/>
      <c r="B34" s="10"/>
      <c r="C34" s="10"/>
      <c r="D34" s="10"/>
      <c r="E34" s="10"/>
      <c r="F34" s="10"/>
      <c r="G34" s="10"/>
    </row>
    <row r="35" spans="1:7" ht="12.75">
      <c r="A35" s="10"/>
      <c r="B35" s="10"/>
      <c r="C35" s="10"/>
      <c r="D35" s="10"/>
      <c r="E35" s="10"/>
      <c r="F35" s="10"/>
      <c r="G35" s="10"/>
    </row>
    <row r="36" spans="1:7" ht="12.75">
      <c r="A36" s="10"/>
      <c r="B36" s="10"/>
      <c r="C36" s="10"/>
      <c r="D36" s="10"/>
      <c r="E36" s="10"/>
      <c r="F36" s="10"/>
      <c r="G36" s="10"/>
    </row>
    <row r="37" spans="1:7" ht="15.75">
      <c r="A37" s="13"/>
      <c r="B37" s="13"/>
      <c r="C37" s="13"/>
      <c r="D37" s="13"/>
      <c r="E37" s="13"/>
      <c r="F37" s="13"/>
      <c r="G37" s="13"/>
    </row>
    <row r="38" spans="1:7" ht="15.75">
      <c r="A38" s="13"/>
      <c r="B38" s="13"/>
      <c r="C38" s="13"/>
      <c r="D38" s="13"/>
      <c r="E38" s="13"/>
      <c r="F38" s="13"/>
      <c r="G38" s="13"/>
    </row>
    <row r="39" spans="1:7" ht="15.75">
      <c r="A39" s="13"/>
      <c r="B39" s="13"/>
      <c r="C39" s="13"/>
      <c r="D39" s="13"/>
      <c r="E39" s="13"/>
      <c r="F39" s="13"/>
      <c r="G39" s="13"/>
    </row>
    <row r="40" spans="1:7" ht="15.75">
      <c r="A40" s="13"/>
      <c r="B40" s="13"/>
      <c r="C40" s="13"/>
      <c r="D40" s="13"/>
      <c r="E40" s="13"/>
      <c r="F40" s="13"/>
      <c r="G40" s="13"/>
    </row>
    <row r="41" spans="1:7" ht="15.75">
      <c r="A41" s="13"/>
      <c r="B41" s="13"/>
      <c r="C41" s="13"/>
      <c r="D41" s="13"/>
      <c r="F41" s="13"/>
      <c r="G41" s="13"/>
    </row>
  </sheetData>
  <sheetProtection password="C7C6" sheet="1" objects="1" scenarios="1"/>
  <mergeCells count="3">
    <mergeCell ref="B3:I3"/>
    <mergeCell ref="B4:I4"/>
    <mergeCell ref="B5:I5"/>
  </mergeCells>
  <printOptions horizontalCentered="1"/>
  <pageMargins left="0.7480314960629921" right="0.7480314960629921" top="0.984251968503937" bottom="0.984251968503937" header="0.5118110236220472" footer="0.5118110236220472"/>
  <pageSetup horizontalDpi="300" verticalDpi="300" orientation="portrait" paperSize="42"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K54"/>
  <sheetViews>
    <sheetView showGridLines="0" zoomScale="120" zoomScaleNormal="120" workbookViewId="0" topLeftCell="A1">
      <selection activeCell="A1" sqref="A1"/>
    </sheetView>
  </sheetViews>
  <sheetFormatPr defaultColWidth="9.140625" defaultRowHeight="12.75"/>
  <cols>
    <col min="1" max="1" width="3.28125" style="60" customWidth="1"/>
    <col min="2" max="4" width="10.28125" style="60" customWidth="1"/>
    <col min="5" max="5" width="4.421875" style="60" customWidth="1"/>
    <col min="6" max="6" width="3.8515625" style="60" customWidth="1"/>
    <col min="7" max="7" width="11.7109375" style="60" customWidth="1"/>
    <col min="8" max="8" width="2.57421875" style="60" customWidth="1"/>
    <col min="9" max="9" width="10.28125" style="60" customWidth="1"/>
    <col min="10" max="10" width="2.57421875" style="60" customWidth="1"/>
    <col min="11" max="11" width="12.140625" style="60" customWidth="1"/>
    <col min="12" max="16384" width="10.28125" style="60" customWidth="1"/>
  </cols>
  <sheetData>
    <row r="2" spans="2:11" ht="15">
      <c r="B2" s="130" t="str">
        <f>"Equine Ranching (PMU) Budget - "&amp;Introduction!$H$7&amp;" "</f>
        <v>Equine Ranching (PMU) Budget - September, 2002 </v>
      </c>
      <c r="C2" s="131"/>
      <c r="D2" s="131"/>
      <c r="E2" s="131"/>
      <c r="F2" s="131"/>
      <c r="G2" s="131"/>
      <c r="H2" s="131"/>
      <c r="I2" s="131"/>
      <c r="J2" s="131"/>
      <c r="K2" s="131"/>
    </row>
    <row r="3" spans="3:9" ht="15">
      <c r="C3" s="69" t="str">
        <f>"(based on "&amp;Assumptions!G5&amp;" mares on line)"</f>
        <v>(based on 100 mares on line)</v>
      </c>
      <c r="D3" s="69"/>
      <c r="E3" s="69"/>
      <c r="F3" s="69"/>
      <c r="G3" s="69"/>
      <c r="H3" s="69"/>
      <c r="I3" s="69"/>
    </row>
    <row r="4" spans="7:11" ht="15.75">
      <c r="G4" s="41" t="s">
        <v>4</v>
      </c>
      <c r="I4" s="70" t="s">
        <v>5</v>
      </c>
      <c r="K4" s="71" t="s">
        <v>6</v>
      </c>
    </row>
    <row r="5" ht="15.75">
      <c r="B5" s="16" t="s">
        <v>7</v>
      </c>
    </row>
    <row r="6" ht="15.75">
      <c r="B6" s="16" t="s">
        <v>8</v>
      </c>
    </row>
    <row r="7" spans="2:11" ht="15">
      <c r="B7" s="60" t="s">
        <v>9</v>
      </c>
      <c r="G7" s="60">
        <f>Details!E14</f>
        <v>49.5</v>
      </c>
      <c r="H7" s="72" t="s">
        <v>10</v>
      </c>
      <c r="I7" s="60">
        <f>ROUND(G7/Assumptions!$G$10,2)</f>
        <v>0.41</v>
      </c>
      <c r="K7" s="42"/>
    </row>
    <row r="8" spans="2:11" ht="15">
      <c r="B8" s="60" t="s">
        <v>11</v>
      </c>
      <c r="G8" s="60">
        <f>Details!E22</f>
        <v>12.38</v>
      </c>
      <c r="H8" s="72" t="s">
        <v>10</v>
      </c>
      <c r="I8" s="60">
        <f>ROUND(G8/Assumptions!$G$10,2)</f>
        <v>0.1</v>
      </c>
      <c r="K8" s="42"/>
    </row>
    <row r="9" spans="2:11" ht="15">
      <c r="B9" s="60" t="s">
        <v>12</v>
      </c>
      <c r="G9" s="60">
        <f>Details!E59</f>
        <v>165.69</v>
      </c>
      <c r="H9" s="72" t="s">
        <v>10</v>
      </c>
      <c r="I9" s="60">
        <f>ROUND(G9/Assumptions!$G$10,2)</f>
        <v>1.38</v>
      </c>
      <c r="K9" s="42"/>
    </row>
    <row r="10" spans="2:11" ht="15">
      <c r="B10" s="60" t="s">
        <v>13</v>
      </c>
      <c r="G10" s="60">
        <f>Details!E87</f>
        <v>66.63</v>
      </c>
      <c r="I10" s="60">
        <f>ROUND(G10/Assumptions!$G$10,2)</f>
        <v>0.56</v>
      </c>
      <c r="K10" s="42"/>
    </row>
    <row r="11" spans="2:11" ht="15">
      <c r="B11" s="60" t="s">
        <v>14</v>
      </c>
      <c r="G11" s="24">
        <f>Details!E124</f>
        <v>28.28</v>
      </c>
      <c r="H11" s="74"/>
      <c r="I11" s="24">
        <f>ROUND(G11/Assumptions!$G$10,2)</f>
        <v>0.24</v>
      </c>
      <c r="K11" s="42"/>
    </row>
    <row r="12" spans="2:11" ht="15.75">
      <c r="B12" s="16" t="s">
        <v>15</v>
      </c>
      <c r="G12" s="16">
        <f>SUM(G7:G11)</f>
        <v>322.48</v>
      </c>
      <c r="I12" s="16">
        <f>SUM(I7:I11)</f>
        <v>2.6900000000000004</v>
      </c>
      <c r="K12" s="42"/>
    </row>
    <row r="13" ht="15.75">
      <c r="B13" s="16" t="s">
        <v>16</v>
      </c>
    </row>
    <row r="14" spans="2:11" ht="15">
      <c r="B14" s="60" t="s">
        <v>17</v>
      </c>
      <c r="G14" s="75">
        <f>Details!E130</f>
        <v>43.75</v>
      </c>
      <c r="H14" s="75"/>
      <c r="I14" s="60">
        <f>ROUND(G14/Assumptions!$G$10,2)</f>
        <v>0.36</v>
      </c>
      <c r="K14" s="42"/>
    </row>
    <row r="15" spans="2:11" ht="15">
      <c r="B15" s="60" t="s">
        <v>18</v>
      </c>
      <c r="G15" s="60">
        <f>Details!E188</f>
        <v>109.915</v>
      </c>
      <c r="H15" s="72" t="s">
        <v>10</v>
      </c>
      <c r="I15" s="60">
        <f>ROUND(G15/Assumptions!$G$10,2)</f>
        <v>0.92</v>
      </c>
      <c r="K15" s="42"/>
    </row>
    <row r="16" spans="2:11" ht="15">
      <c r="B16" s="60" t="s">
        <v>19</v>
      </c>
      <c r="G16" s="60">
        <f>Details!E211</f>
        <v>38.040000000000006</v>
      </c>
      <c r="H16" s="72" t="s">
        <v>10</v>
      </c>
      <c r="I16" s="60">
        <f>ROUND(G16/Assumptions!$G$10,2)</f>
        <v>0.32</v>
      </c>
      <c r="K16" s="42"/>
    </row>
    <row r="17" spans="2:11" ht="15">
      <c r="B17" s="60" t="s">
        <v>20</v>
      </c>
      <c r="G17" s="60">
        <f>Details!E218</f>
        <v>28.5</v>
      </c>
      <c r="H17" s="72" t="s">
        <v>10</v>
      </c>
      <c r="I17" s="60">
        <f>ROUND(G17/Assumptions!$G$10,2)</f>
        <v>0.24</v>
      </c>
      <c r="K17" s="42"/>
    </row>
    <row r="18" spans="2:11" ht="15">
      <c r="B18" s="60" t="s">
        <v>21</v>
      </c>
      <c r="G18" s="60">
        <f>Details!E226</f>
        <v>134.6625</v>
      </c>
      <c r="H18" s="72" t="s">
        <v>10</v>
      </c>
      <c r="I18" s="60">
        <f>ROUND(G18/Assumptions!$G$10,2)</f>
        <v>1.12</v>
      </c>
      <c r="K18" s="42"/>
    </row>
    <row r="19" spans="2:11" ht="15">
      <c r="B19" s="60" t="s">
        <v>22</v>
      </c>
      <c r="G19" s="60">
        <f>Details!E231</f>
        <v>20</v>
      </c>
      <c r="I19" s="60">
        <f>ROUND(G19/Assumptions!$G$10,2)</f>
        <v>0.17</v>
      </c>
      <c r="K19" s="42"/>
    </row>
    <row r="20" spans="2:11" ht="15">
      <c r="B20" s="60" t="s">
        <v>23</v>
      </c>
      <c r="G20" s="60">
        <f>Details!E238</f>
        <v>27.4</v>
      </c>
      <c r="H20" s="72" t="s">
        <v>10</v>
      </c>
      <c r="I20" s="60">
        <f>ROUND(G20/Assumptions!$G$10,2)</f>
        <v>0.23</v>
      </c>
      <c r="K20" s="42"/>
    </row>
    <row r="21" spans="2:11" ht="15">
      <c r="B21" s="60" t="s">
        <v>24</v>
      </c>
      <c r="G21" s="60">
        <f>Details!E243</f>
        <v>12</v>
      </c>
      <c r="H21" s="72" t="s">
        <v>10</v>
      </c>
      <c r="I21" s="60">
        <f>ROUND(G21/Assumptions!$G$10,2)</f>
        <v>0.1</v>
      </c>
      <c r="K21" s="42"/>
    </row>
    <row r="22" spans="2:11" ht="15">
      <c r="B22" s="60" t="s">
        <v>25</v>
      </c>
      <c r="G22" s="60">
        <f>Details!E248</f>
        <v>20</v>
      </c>
      <c r="H22" s="72" t="s">
        <v>10</v>
      </c>
      <c r="I22" s="60">
        <f>ROUND(G22/Assumptions!$G$10,2)</f>
        <v>0.17</v>
      </c>
      <c r="K22" s="42"/>
    </row>
    <row r="23" spans="2:11" ht="15">
      <c r="B23" s="60" t="s">
        <v>26</v>
      </c>
      <c r="G23" s="24">
        <f>Details!E255</f>
        <v>22.85</v>
      </c>
      <c r="H23" s="76" t="s">
        <v>10</v>
      </c>
      <c r="I23" s="24">
        <f>ROUND(G23/Assumptions!$G$10,2)</f>
        <v>0.19</v>
      </c>
      <c r="K23" s="42"/>
    </row>
    <row r="24" spans="2:11" ht="15">
      <c r="B24" s="60" t="s">
        <v>27</v>
      </c>
      <c r="G24" s="60">
        <f>SUM(G12:G23)</f>
        <v>779.5975000000001</v>
      </c>
      <c r="I24" s="60">
        <f>SUM(I12:I23)</f>
        <v>6.510000000000001</v>
      </c>
      <c r="K24" s="42"/>
    </row>
    <row r="25" spans="2:11" ht="15">
      <c r="B25" s="60" t="s">
        <v>28</v>
      </c>
      <c r="G25" s="24">
        <f>Details!E263</f>
        <v>28.26</v>
      </c>
      <c r="H25" s="74"/>
      <c r="I25" s="24">
        <f>ROUND(G25/Assumptions!$G$10,2)</f>
        <v>0.24</v>
      </c>
      <c r="K25" s="42"/>
    </row>
    <row r="26" spans="2:11" ht="15.75">
      <c r="B26" s="16" t="s">
        <v>29</v>
      </c>
      <c r="G26" s="16">
        <f>G24+G25</f>
        <v>807.8575000000001</v>
      </c>
      <c r="H26" s="72" t="s">
        <v>10</v>
      </c>
      <c r="I26" s="19">
        <f>ROUND(G26/Assumptions!$G$10,2)</f>
        <v>6.73</v>
      </c>
      <c r="K26" s="42"/>
    </row>
    <row r="27" ht="15.75">
      <c r="B27" s="16" t="s">
        <v>30</v>
      </c>
    </row>
    <row r="28" ht="15">
      <c r="B28" s="60" t="s">
        <v>31</v>
      </c>
    </row>
    <row r="29" spans="2:11" ht="15">
      <c r="B29" s="60" t="s">
        <v>32</v>
      </c>
      <c r="G29" s="60">
        <f>Details!E305</f>
        <v>133.78</v>
      </c>
      <c r="H29" s="62" t="s">
        <v>10</v>
      </c>
      <c r="I29" s="60">
        <f>ROUND(G29/Assumptions!$G$10,2)</f>
        <v>1.11</v>
      </c>
      <c r="K29" s="42"/>
    </row>
    <row r="30" spans="2:11" ht="15">
      <c r="B30" s="60" t="s">
        <v>33</v>
      </c>
      <c r="G30" s="60">
        <f>Details!E312</f>
        <v>36.45</v>
      </c>
      <c r="H30" s="62" t="s">
        <v>10</v>
      </c>
      <c r="I30" s="60">
        <f>ROUND(G30/Assumptions!$G$10,2)</f>
        <v>0.3</v>
      </c>
      <c r="K30" s="43"/>
    </row>
    <row r="31" spans="2:8" ht="15">
      <c r="B31" s="60" t="s">
        <v>34</v>
      </c>
      <c r="G31" s="77" t="s">
        <v>10</v>
      </c>
      <c r="H31" s="62" t="s">
        <v>10</v>
      </c>
    </row>
    <row r="32" spans="2:11" ht="15">
      <c r="B32" s="60" t="s">
        <v>35</v>
      </c>
      <c r="G32" s="60">
        <f>Details!E326</f>
        <v>73.93</v>
      </c>
      <c r="H32" s="62" t="s">
        <v>10</v>
      </c>
      <c r="I32" s="60">
        <f>ROUND(G32/Assumptions!$G$10,2)</f>
        <v>0.62</v>
      </c>
      <c r="K32" s="42"/>
    </row>
    <row r="33" spans="2:11" ht="15">
      <c r="B33" s="60" t="s">
        <v>36</v>
      </c>
      <c r="G33" s="60">
        <f>Details!E334</f>
        <v>11.14</v>
      </c>
      <c r="H33" s="62" t="s">
        <v>10</v>
      </c>
      <c r="I33" s="60">
        <f>ROUND(G33/Assumptions!$G$10,2)</f>
        <v>0.09</v>
      </c>
      <c r="K33" s="42"/>
    </row>
    <row r="34" spans="2:11" ht="15">
      <c r="B34" s="60" t="s">
        <v>37</v>
      </c>
      <c r="G34" s="60">
        <f>Details!E340</f>
        <v>20</v>
      </c>
      <c r="H34" s="62" t="s">
        <v>10</v>
      </c>
      <c r="I34" s="60">
        <f>ROUND(G34/Assumptions!$G$10,2)</f>
        <v>0.17</v>
      </c>
      <c r="K34" s="42"/>
    </row>
    <row r="35" spans="2:11" ht="15">
      <c r="B35" s="60" t="s">
        <v>38</v>
      </c>
      <c r="G35" s="78">
        <f>Details!E346</f>
        <v>121.75</v>
      </c>
      <c r="H35" s="66" t="s">
        <v>10</v>
      </c>
      <c r="I35" s="78">
        <f>ROUND(G35/Assumptions!$G$10,2)</f>
        <v>1.01</v>
      </c>
      <c r="K35" s="42"/>
    </row>
    <row r="36" spans="2:11" ht="15.75">
      <c r="B36" s="16" t="s">
        <v>39</v>
      </c>
      <c r="G36" s="16">
        <f>SUM(G29:G35)</f>
        <v>397.05</v>
      </c>
      <c r="I36" s="16">
        <f>SUM(I29:I35)</f>
        <v>3.3</v>
      </c>
      <c r="K36" s="42"/>
    </row>
    <row r="37" spans="2:11" ht="15.75">
      <c r="B37" s="16" t="s">
        <v>40</v>
      </c>
      <c r="G37" s="16">
        <f>G26+G36</f>
        <v>1204.9075</v>
      </c>
      <c r="I37" s="16">
        <f>I26+I36</f>
        <v>10.030000000000001</v>
      </c>
      <c r="K37" s="42"/>
    </row>
    <row r="38" spans="2:8" ht="15.75">
      <c r="B38" s="16" t="s">
        <v>41</v>
      </c>
      <c r="H38" s="62" t="s">
        <v>10</v>
      </c>
    </row>
    <row r="39" spans="2:11" ht="15">
      <c r="B39" s="60" t="s">
        <v>42</v>
      </c>
      <c r="G39" s="60">
        <f>Details!E354</f>
        <v>144</v>
      </c>
      <c r="H39" s="77" t="s">
        <v>10</v>
      </c>
      <c r="I39" s="60">
        <f>ROUND(G39/Assumptions!$G$10,2)</f>
        <v>1.2</v>
      </c>
      <c r="K39" s="42"/>
    </row>
    <row r="40" spans="2:11" ht="15">
      <c r="B40" s="60" t="s">
        <v>43</v>
      </c>
      <c r="G40" s="78">
        <f>Details!E361</f>
        <v>12.5</v>
      </c>
      <c r="H40" s="78"/>
      <c r="I40" s="78">
        <f>ROUND(G40/Assumptions!$G$10,2)</f>
        <v>0.1</v>
      </c>
      <c r="K40" s="42"/>
    </row>
    <row r="41" spans="2:11" ht="15.75">
      <c r="B41" s="16" t="s">
        <v>44</v>
      </c>
      <c r="G41" s="16">
        <f>G39+G40</f>
        <v>156.5</v>
      </c>
      <c r="I41" s="16">
        <f>SUM(I39:I40)</f>
        <v>1.3</v>
      </c>
      <c r="K41" s="42"/>
    </row>
    <row r="42" spans="2:11" ht="15.75">
      <c r="B42" s="16" t="s">
        <v>340</v>
      </c>
      <c r="G42" s="16">
        <f>G37+G41</f>
        <v>1361.4075</v>
      </c>
      <c r="I42" s="16">
        <f>I37+I41</f>
        <v>11.330000000000002</v>
      </c>
      <c r="K42" s="42"/>
    </row>
    <row r="43" spans="2:11" ht="15.75">
      <c r="B43" s="16"/>
      <c r="G43" s="16"/>
      <c r="I43" s="16"/>
      <c r="K43" s="42"/>
    </row>
    <row r="44" spans="2:11" ht="15.75">
      <c r="B44" s="79" t="s">
        <v>359</v>
      </c>
      <c r="G44" s="46">
        <f>-Details!E432</f>
        <v>-141.87</v>
      </c>
      <c r="H44" s="78"/>
      <c r="I44" s="46">
        <f>ROUND(G44/Assumptions!$G$10,2)</f>
        <v>-1.18</v>
      </c>
      <c r="K44" s="42"/>
    </row>
    <row r="45" spans="2:11" ht="15.75">
      <c r="B45" s="16" t="s">
        <v>358</v>
      </c>
      <c r="G45" s="79">
        <f>G42+G44</f>
        <v>1219.5375</v>
      </c>
      <c r="I45" s="79">
        <f>I42+I44</f>
        <v>10.150000000000002</v>
      </c>
      <c r="K45" s="43"/>
    </row>
    <row r="47" spans="2:11" ht="15">
      <c r="B47" s="132" t="s">
        <v>373</v>
      </c>
      <c r="C47" s="133"/>
      <c r="D47" s="133"/>
      <c r="E47" s="133"/>
      <c r="F47" s="133"/>
      <c r="G47" s="133"/>
      <c r="H47" s="133"/>
      <c r="I47" s="133"/>
      <c r="J47" s="133"/>
      <c r="K47" s="133"/>
    </row>
    <row r="48" spans="2:11" ht="15">
      <c r="B48" s="133"/>
      <c r="C48" s="133"/>
      <c r="D48" s="133"/>
      <c r="E48" s="133"/>
      <c r="F48" s="133"/>
      <c r="G48" s="133"/>
      <c r="H48" s="133"/>
      <c r="I48" s="133"/>
      <c r="J48" s="133"/>
      <c r="K48" s="133"/>
    </row>
    <row r="49" spans="2:11" ht="15">
      <c r="B49" s="133"/>
      <c r="C49" s="133"/>
      <c r="D49" s="133"/>
      <c r="E49" s="133"/>
      <c r="F49" s="133"/>
      <c r="G49" s="133"/>
      <c r="H49" s="133"/>
      <c r="I49" s="133"/>
      <c r="J49" s="133"/>
      <c r="K49" s="133"/>
    </row>
    <row r="50" spans="2:11" ht="15">
      <c r="B50" s="80"/>
      <c r="C50" s="80"/>
      <c r="D50" s="80"/>
      <c r="E50" s="80"/>
      <c r="F50" s="80"/>
      <c r="G50" s="80"/>
      <c r="H50" s="80"/>
      <c r="I50" s="80"/>
      <c r="J50" s="80"/>
      <c r="K50" s="80"/>
    </row>
    <row r="51" spans="3:8" ht="15">
      <c r="C51" s="81"/>
      <c r="D51" s="81"/>
      <c r="E51" s="81"/>
      <c r="F51" s="81"/>
      <c r="G51" s="81"/>
      <c r="H51" s="81"/>
    </row>
    <row r="52" spans="3:8" ht="15">
      <c r="C52" s="81"/>
      <c r="D52" s="44"/>
      <c r="E52" s="81"/>
      <c r="F52" s="81"/>
      <c r="G52" s="81"/>
      <c r="H52" s="81"/>
    </row>
    <row r="53" spans="3:8" ht="15">
      <c r="C53" s="81"/>
      <c r="D53" s="81"/>
      <c r="E53" s="81"/>
      <c r="F53" s="81"/>
      <c r="G53" s="81"/>
      <c r="H53" s="81"/>
    </row>
    <row r="54" spans="3:8" ht="15">
      <c r="C54" s="81"/>
      <c r="D54" s="81"/>
      <c r="E54" s="81"/>
      <c r="F54" s="81"/>
      <c r="G54" s="81"/>
      <c r="H54" s="81"/>
    </row>
  </sheetData>
  <sheetProtection password="C7C6" sheet="1" objects="1" scenarios="1"/>
  <mergeCells count="2">
    <mergeCell ref="B2:K2"/>
    <mergeCell ref="B47:K49"/>
  </mergeCells>
  <printOptions horizontalCentered="1"/>
  <pageMargins left="0.748031496062992" right="0.748031496062992" top="0.984251968503937" bottom="0.984251968503937" header="0.511811023622047" footer="0.511811023622047"/>
  <pageSetup firstPageNumber="2" useFirstPageNumber="1" fitToHeight="1" fitToWidth="1" horizontalDpi="300" verticalDpi="300" orientation="portrait" paperSize="42" scale="84" r:id="rId1"/>
  <headerFooter alignWithMargins="0">
    <oddHeader>&amp;LGuidelines: Equine Ranching&amp;R&amp;P</oddHeader>
    <oddFooter>&amp;RManitoba Agriculture and Food
&amp;"Arial,Italic"Farm Management&amp;"Arial,Regular" 
</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Q305"/>
  <sheetViews>
    <sheetView showGridLines="0" zoomScale="120" zoomScaleNormal="120" workbookViewId="0" topLeftCell="A1">
      <selection activeCell="A1" sqref="A1"/>
    </sheetView>
  </sheetViews>
  <sheetFormatPr defaultColWidth="9.140625" defaultRowHeight="12.75"/>
  <cols>
    <col min="1" max="1" width="9.57421875" style="60" customWidth="1"/>
    <col min="2" max="2" width="10.28125" style="60" customWidth="1"/>
    <col min="3" max="3" width="5.00390625" style="60" customWidth="1"/>
    <col min="4" max="4" width="9.57421875" style="60" customWidth="1"/>
    <col min="5" max="5" width="9.57421875" style="75" customWidth="1"/>
    <col min="6" max="6" width="10.7109375" style="60" customWidth="1"/>
    <col min="7" max="7" width="11.421875" style="60" customWidth="1"/>
    <col min="8" max="8" width="11.28125" style="60" customWidth="1"/>
    <col min="9" max="11" width="9.7109375" style="60" customWidth="1"/>
    <col min="12" max="12" width="6.7109375" style="60" customWidth="1"/>
    <col min="13" max="13" width="9.7109375" style="60" customWidth="1"/>
    <col min="14" max="14" width="12.7109375" style="60" customWidth="1"/>
    <col min="15" max="15" width="6.7109375" style="60" customWidth="1"/>
    <col min="16" max="16" width="10.7109375" style="60" customWidth="1"/>
    <col min="17" max="18" width="6.7109375" style="60" customWidth="1"/>
    <col min="19" max="19" width="10.28125" style="60" customWidth="1"/>
    <col min="20" max="21" width="12.7109375" style="60" customWidth="1"/>
    <col min="22" max="24" width="6.7109375" style="60" customWidth="1"/>
    <col min="25" max="25" width="9.7109375" style="60" customWidth="1"/>
    <col min="26" max="26" width="3.7109375" style="60" customWidth="1"/>
    <col min="27" max="27" width="9.7109375" style="60" customWidth="1"/>
    <col min="28" max="29" width="6.7109375" style="60" customWidth="1"/>
    <col min="30" max="30" width="12.7109375" style="60" customWidth="1"/>
    <col min="31" max="31" width="6.7109375" style="60" customWidth="1"/>
    <col min="32" max="32" width="12.7109375" style="60" customWidth="1"/>
    <col min="33" max="33" width="6.7109375" style="60" customWidth="1"/>
    <col min="34" max="35" width="10.28125" style="60" customWidth="1"/>
    <col min="36" max="36" width="3.7109375" style="60" customWidth="1"/>
    <col min="37" max="43" width="10.28125" style="60" customWidth="1"/>
    <col min="44" max="44" width="11.7109375" style="60" customWidth="1"/>
    <col min="45" max="45" width="3.7109375" style="60" customWidth="1"/>
    <col min="46" max="16384" width="10.28125" style="60" customWidth="1"/>
  </cols>
  <sheetData>
    <row r="1" spans="3:6" ht="15">
      <c r="C1" s="82"/>
      <c r="D1" s="82"/>
      <c r="E1" s="83"/>
      <c r="F1" s="82"/>
    </row>
    <row r="2" spans="2:17" ht="15">
      <c r="B2" s="136" t="s">
        <v>45</v>
      </c>
      <c r="C2" s="131"/>
      <c r="D2" s="131"/>
      <c r="E2" s="131"/>
      <c r="F2" s="131"/>
      <c r="G2" s="131"/>
      <c r="H2" s="131"/>
      <c r="Q2" s="77" t="s">
        <v>10</v>
      </c>
    </row>
    <row r="3" spans="2:17" ht="15.75">
      <c r="B3" s="136" t="s">
        <v>46</v>
      </c>
      <c r="C3" s="136"/>
      <c r="D3" s="136"/>
      <c r="E3" s="136"/>
      <c r="F3" s="136"/>
      <c r="G3" s="136"/>
      <c r="H3" s="136"/>
      <c r="Q3" s="77" t="s">
        <v>10</v>
      </c>
    </row>
    <row r="4" ht="15">
      <c r="H4" s="77" t="s">
        <v>10</v>
      </c>
    </row>
    <row r="5" spans="2:17" ht="15.75">
      <c r="B5" s="60" t="s">
        <v>47</v>
      </c>
      <c r="E5" s="75" t="s">
        <v>10</v>
      </c>
      <c r="G5" s="25">
        <v>100</v>
      </c>
      <c r="H5" s="60" t="s">
        <v>48</v>
      </c>
      <c r="Q5" s="77" t="s">
        <v>10</v>
      </c>
    </row>
    <row r="6" spans="2:8" ht="15.75">
      <c r="B6" s="60" t="s">
        <v>49</v>
      </c>
      <c r="G6" s="25">
        <v>7</v>
      </c>
      <c r="H6" s="60" t="s">
        <v>50</v>
      </c>
    </row>
    <row r="7" spans="2:8" ht="15.75">
      <c r="B7" s="60" t="s">
        <v>51</v>
      </c>
      <c r="G7" s="25">
        <v>20</v>
      </c>
      <c r="H7" s="60" t="s">
        <v>52</v>
      </c>
    </row>
    <row r="8" spans="2:8" ht="15.75">
      <c r="B8" s="60" t="s">
        <v>53</v>
      </c>
      <c r="G8" s="25">
        <v>10</v>
      </c>
      <c r="H8" s="60" t="s">
        <v>54</v>
      </c>
    </row>
    <row r="9" spans="2:8" ht="15.75">
      <c r="B9" s="60" t="s">
        <v>55</v>
      </c>
      <c r="G9" s="25">
        <v>10</v>
      </c>
      <c r="H9" s="60" t="s">
        <v>56</v>
      </c>
    </row>
    <row r="10" spans="2:8" ht="15.75">
      <c r="B10" s="60" t="s">
        <v>57</v>
      </c>
      <c r="G10" s="25">
        <v>120</v>
      </c>
      <c r="H10" s="60" t="s">
        <v>58</v>
      </c>
    </row>
    <row r="11" spans="2:8" ht="15.75">
      <c r="B11" s="60" t="s">
        <v>59</v>
      </c>
      <c r="G11" s="37">
        <v>17.1</v>
      </c>
      <c r="H11" s="60" t="s">
        <v>60</v>
      </c>
    </row>
    <row r="12" spans="2:17" ht="15.75">
      <c r="B12" s="60" t="s">
        <v>61</v>
      </c>
      <c r="G12" s="38">
        <v>1</v>
      </c>
      <c r="H12" s="60" t="s">
        <v>62</v>
      </c>
      <c r="Q12" s="77" t="s">
        <v>10</v>
      </c>
    </row>
    <row r="13" spans="2:8" ht="15.75">
      <c r="B13" s="60" t="s">
        <v>63</v>
      </c>
      <c r="G13" s="38">
        <v>8</v>
      </c>
      <c r="H13" s="60" t="s">
        <v>62</v>
      </c>
    </row>
    <row r="14" spans="2:8" ht="15.75">
      <c r="B14" s="60" t="s">
        <v>365</v>
      </c>
      <c r="G14" s="38">
        <v>85</v>
      </c>
      <c r="H14" s="60" t="s">
        <v>62</v>
      </c>
    </row>
    <row r="15" spans="2:8" ht="15.75">
      <c r="B15" s="60" t="s">
        <v>64</v>
      </c>
      <c r="G15" s="37">
        <v>420</v>
      </c>
      <c r="H15" s="60" t="s">
        <v>65</v>
      </c>
    </row>
    <row r="16" spans="2:17" ht="15.75">
      <c r="B16" s="60" t="s">
        <v>66</v>
      </c>
      <c r="C16" s="82"/>
      <c r="D16" s="82"/>
      <c r="E16" s="83"/>
      <c r="G16" s="25">
        <v>1400</v>
      </c>
      <c r="H16" s="60" t="s">
        <v>67</v>
      </c>
      <c r="Q16" s="82"/>
    </row>
    <row r="17" spans="2:17" ht="15.75">
      <c r="B17" s="60" t="s">
        <v>342</v>
      </c>
      <c r="C17" s="82"/>
      <c r="D17" s="82"/>
      <c r="E17" s="83"/>
      <c r="G17" s="45">
        <v>510</v>
      </c>
      <c r="H17" s="60" t="s">
        <v>344</v>
      </c>
      <c r="Q17" s="82"/>
    </row>
    <row r="18" spans="2:17" ht="15.75">
      <c r="B18" s="60" t="s">
        <v>343</v>
      </c>
      <c r="C18" s="82"/>
      <c r="D18" s="82"/>
      <c r="E18" s="83"/>
      <c r="G18" s="25">
        <v>1700</v>
      </c>
      <c r="H18" s="60" t="s">
        <v>67</v>
      </c>
      <c r="Q18" s="82"/>
    </row>
    <row r="19" spans="2:17" ht="15.75">
      <c r="B19" s="60" t="s">
        <v>345</v>
      </c>
      <c r="C19" s="82"/>
      <c r="D19" s="82"/>
      <c r="E19" s="83"/>
      <c r="G19" s="37">
        <v>12</v>
      </c>
      <c r="H19" s="60" t="s">
        <v>346</v>
      </c>
      <c r="Q19" s="82"/>
    </row>
    <row r="20" spans="2:8" ht="15.75">
      <c r="B20" s="60" t="s">
        <v>69</v>
      </c>
      <c r="G20" s="37">
        <v>150</v>
      </c>
      <c r="H20" s="60" t="s">
        <v>70</v>
      </c>
    </row>
    <row r="21" spans="2:8" ht="15.75">
      <c r="B21" s="60" t="s">
        <v>71</v>
      </c>
      <c r="G21" s="25">
        <v>500</v>
      </c>
      <c r="H21" s="60" t="s">
        <v>67</v>
      </c>
    </row>
    <row r="22" spans="2:17" ht="15.75">
      <c r="B22" s="60" t="s">
        <v>72</v>
      </c>
      <c r="C22" s="82"/>
      <c r="D22" s="82"/>
      <c r="E22" s="83"/>
      <c r="G22" s="37">
        <v>5</v>
      </c>
      <c r="H22" s="60" t="s">
        <v>70</v>
      </c>
      <c r="Q22" s="82"/>
    </row>
    <row r="23" spans="2:8" ht="15.75">
      <c r="B23" s="60" t="s">
        <v>73</v>
      </c>
      <c r="G23" s="37">
        <v>1.25</v>
      </c>
      <c r="H23" s="60" t="s">
        <v>74</v>
      </c>
    </row>
    <row r="24" spans="2:8" ht="15.75">
      <c r="B24" s="60" t="s">
        <v>338</v>
      </c>
      <c r="G24" s="37">
        <v>0.9</v>
      </c>
      <c r="H24" s="60" t="s">
        <v>339</v>
      </c>
    </row>
    <row r="26" spans="1:8" ht="15.75">
      <c r="A26" s="84"/>
      <c r="B26" s="134" t="s">
        <v>75</v>
      </c>
      <c r="C26" s="131"/>
      <c r="D26" s="131"/>
      <c r="E26" s="131"/>
      <c r="F26" s="131"/>
      <c r="G26" s="131"/>
      <c r="H26" s="131"/>
    </row>
    <row r="27" spans="2:8" ht="15.75">
      <c r="B27" s="85" t="s">
        <v>76</v>
      </c>
      <c r="E27" s="86" t="s">
        <v>77</v>
      </c>
      <c r="F27" s="87"/>
      <c r="H27" s="71" t="s">
        <v>78</v>
      </c>
    </row>
    <row r="28" spans="2:5" ht="15">
      <c r="B28" s="60" t="s">
        <v>79</v>
      </c>
      <c r="E28" s="60"/>
    </row>
    <row r="29" spans="2:8" ht="15.75">
      <c r="B29" s="60" t="s">
        <v>80</v>
      </c>
      <c r="E29" s="60" t="s">
        <v>81</v>
      </c>
      <c r="H29" s="25">
        <v>165</v>
      </c>
    </row>
    <row r="30" spans="2:8" ht="15.75">
      <c r="B30" s="60" t="s">
        <v>82</v>
      </c>
      <c r="E30" s="60" t="s">
        <v>83</v>
      </c>
      <c r="H30" s="25">
        <v>75</v>
      </c>
    </row>
    <row r="31" spans="2:8" ht="15.75">
      <c r="B31" s="60" t="s">
        <v>84</v>
      </c>
      <c r="E31" s="60" t="s">
        <v>85</v>
      </c>
      <c r="H31" s="25">
        <v>125</v>
      </c>
    </row>
    <row r="32" spans="2:8" ht="15">
      <c r="B32" s="60" t="s">
        <v>86</v>
      </c>
      <c r="E32" s="60"/>
      <c r="H32" s="88" t="s">
        <v>10</v>
      </c>
    </row>
    <row r="33" spans="2:8" ht="15.75">
      <c r="B33" s="60" t="s">
        <v>82</v>
      </c>
      <c r="E33" s="60" t="s">
        <v>87</v>
      </c>
      <c r="H33" s="25">
        <v>240</v>
      </c>
    </row>
    <row r="34" spans="2:8" ht="15.75">
      <c r="B34" s="60" t="s">
        <v>84</v>
      </c>
      <c r="E34" s="60" t="s">
        <v>85</v>
      </c>
      <c r="H34" s="25">
        <v>125</v>
      </c>
    </row>
    <row r="35" spans="2:8" ht="15">
      <c r="B35" s="60" t="s">
        <v>88</v>
      </c>
      <c r="E35" s="60"/>
      <c r="H35" s="88" t="s">
        <v>10</v>
      </c>
    </row>
    <row r="36" spans="2:8" ht="15.75">
      <c r="B36" s="60" t="s">
        <v>82</v>
      </c>
      <c r="E36" s="60" t="s">
        <v>89</v>
      </c>
      <c r="H36" s="25">
        <v>300</v>
      </c>
    </row>
    <row r="37" spans="2:8" ht="15.75">
      <c r="B37" s="60" t="s">
        <v>84</v>
      </c>
      <c r="E37" s="60" t="s">
        <v>90</v>
      </c>
      <c r="H37" s="25">
        <v>65</v>
      </c>
    </row>
    <row r="38" spans="2:8" ht="15">
      <c r="B38" s="60" t="s">
        <v>91</v>
      </c>
      <c r="E38" s="60"/>
      <c r="H38" s="88" t="s">
        <v>10</v>
      </c>
    </row>
    <row r="39" spans="2:8" ht="15.75">
      <c r="B39" s="60" t="s">
        <v>82</v>
      </c>
      <c r="E39" s="60" t="s">
        <v>89</v>
      </c>
      <c r="H39" s="25">
        <v>240</v>
      </c>
    </row>
    <row r="40" spans="2:8" ht="15.75">
      <c r="B40" s="60" t="s">
        <v>84</v>
      </c>
      <c r="E40" s="60" t="s">
        <v>90</v>
      </c>
      <c r="H40" s="34">
        <v>125</v>
      </c>
    </row>
    <row r="42" spans="2:10" ht="15">
      <c r="B42" s="134" t="s">
        <v>363</v>
      </c>
      <c r="C42" s="135"/>
      <c r="D42" s="135"/>
      <c r="E42" s="135"/>
      <c r="F42" s="135"/>
      <c r="G42" s="135"/>
      <c r="H42" s="135"/>
      <c r="I42" s="135"/>
      <c r="J42" s="89"/>
    </row>
    <row r="43" spans="2:9" ht="15.75">
      <c r="B43" s="54"/>
      <c r="C43" s="54"/>
      <c r="D43" s="54"/>
      <c r="E43" s="54" t="s">
        <v>92</v>
      </c>
      <c r="F43" s="55" t="s">
        <v>93</v>
      </c>
      <c r="G43" s="55"/>
      <c r="H43" s="55"/>
      <c r="I43" s="56" t="s">
        <v>94</v>
      </c>
    </row>
    <row r="44" spans="2:9" ht="15.75">
      <c r="B44" s="54"/>
      <c r="C44" s="54"/>
      <c r="D44" s="54"/>
      <c r="E44" s="57" t="s">
        <v>95</v>
      </c>
      <c r="F44" s="57" t="s">
        <v>96</v>
      </c>
      <c r="G44" s="57" t="s">
        <v>97</v>
      </c>
      <c r="H44" s="57" t="s">
        <v>98</v>
      </c>
      <c r="I44" s="58" t="s">
        <v>99</v>
      </c>
    </row>
    <row r="45" spans="2:8" ht="15.75">
      <c r="B45" s="59" t="s">
        <v>100</v>
      </c>
      <c r="C45" s="54"/>
      <c r="D45" s="54"/>
      <c r="E45" s="54"/>
      <c r="F45" s="54"/>
      <c r="G45" s="54"/>
      <c r="H45" s="54"/>
    </row>
    <row r="46" spans="2:9" ht="15.75">
      <c r="B46" s="61" t="s">
        <v>101</v>
      </c>
      <c r="C46" s="54"/>
      <c r="D46" s="54"/>
      <c r="E46" s="38">
        <v>12</v>
      </c>
      <c r="F46" s="67">
        <v>0</v>
      </c>
      <c r="G46" s="38">
        <v>6</v>
      </c>
      <c r="H46" s="38">
        <v>7</v>
      </c>
      <c r="I46" s="38">
        <v>0.2</v>
      </c>
    </row>
    <row r="47" spans="2:9" ht="15.75">
      <c r="B47" s="59" t="s">
        <v>102</v>
      </c>
      <c r="C47" s="54"/>
      <c r="D47" s="54"/>
      <c r="E47" s="90"/>
      <c r="F47" s="90"/>
      <c r="G47" s="90"/>
      <c r="H47" s="90"/>
      <c r="I47" s="91"/>
    </row>
    <row r="48" spans="2:9" ht="15.75">
      <c r="B48" s="61" t="s">
        <v>101</v>
      </c>
      <c r="C48" s="54"/>
      <c r="D48" s="54"/>
      <c r="E48" s="67">
        <v>0</v>
      </c>
      <c r="F48" s="38">
        <v>37</v>
      </c>
      <c r="G48" s="67">
        <v>0</v>
      </c>
      <c r="H48" s="67">
        <v>0</v>
      </c>
      <c r="I48" s="38">
        <v>0.2</v>
      </c>
    </row>
    <row r="49" spans="2:9" ht="15.75">
      <c r="B49" s="61" t="s">
        <v>103</v>
      </c>
      <c r="C49" s="54"/>
      <c r="D49" s="54"/>
      <c r="E49" s="67">
        <v>0</v>
      </c>
      <c r="F49" s="38">
        <v>25</v>
      </c>
      <c r="G49" s="67">
        <v>0</v>
      </c>
      <c r="H49" s="67">
        <v>0</v>
      </c>
      <c r="I49" s="38">
        <v>0.2</v>
      </c>
    </row>
    <row r="50" spans="2:9" ht="15.75">
      <c r="B50" s="61" t="s">
        <v>49</v>
      </c>
      <c r="C50" s="54"/>
      <c r="D50" s="54"/>
      <c r="E50" s="67">
        <v>0</v>
      </c>
      <c r="F50" s="38">
        <v>28</v>
      </c>
      <c r="G50" s="67">
        <v>0</v>
      </c>
      <c r="H50" s="38">
        <v>2</v>
      </c>
      <c r="I50" s="38">
        <v>0.2</v>
      </c>
    </row>
    <row r="51" spans="2:9" ht="15.75">
      <c r="B51" s="61" t="s">
        <v>55</v>
      </c>
      <c r="C51" s="54"/>
      <c r="D51" s="54"/>
      <c r="E51" s="67">
        <v>0</v>
      </c>
      <c r="F51" s="38">
        <v>15</v>
      </c>
      <c r="G51" s="67">
        <v>0</v>
      </c>
      <c r="H51" s="38">
        <v>3</v>
      </c>
      <c r="I51" s="38">
        <v>0.1</v>
      </c>
    </row>
    <row r="52" spans="2:9" ht="15.75">
      <c r="B52" s="54"/>
      <c r="C52" s="54"/>
      <c r="D52" s="54"/>
      <c r="E52" s="54"/>
      <c r="F52" s="54"/>
      <c r="G52" s="54"/>
      <c r="H52" s="54"/>
      <c r="I52" s="54"/>
    </row>
    <row r="53" spans="2:9" ht="15">
      <c r="B53" s="134" t="s">
        <v>350</v>
      </c>
      <c r="C53" s="131"/>
      <c r="D53" s="131"/>
      <c r="E53" s="131"/>
      <c r="F53" s="131"/>
      <c r="G53" s="131"/>
      <c r="H53" s="131"/>
      <c r="I53" s="131"/>
    </row>
    <row r="54" spans="2:9" ht="15.75">
      <c r="B54" s="54"/>
      <c r="C54" s="54"/>
      <c r="D54" s="54"/>
      <c r="E54" s="54" t="s">
        <v>92</v>
      </c>
      <c r="F54" s="55" t="s">
        <v>93</v>
      </c>
      <c r="G54" s="55"/>
      <c r="H54" s="55"/>
      <c r="I54" s="56" t="s">
        <v>94</v>
      </c>
    </row>
    <row r="55" spans="2:9" ht="15.75">
      <c r="B55" s="54"/>
      <c r="C55" s="54"/>
      <c r="D55" s="54"/>
      <c r="E55" s="57" t="s">
        <v>95</v>
      </c>
      <c r="F55" s="57" t="s">
        <v>96</v>
      </c>
      <c r="G55" s="57" t="s">
        <v>97</v>
      </c>
      <c r="H55" s="57" t="s">
        <v>98</v>
      </c>
      <c r="I55" s="58" t="s">
        <v>99</v>
      </c>
    </row>
    <row r="56" spans="2:8" ht="15.75">
      <c r="B56" s="59" t="s">
        <v>100</v>
      </c>
      <c r="C56" s="54"/>
      <c r="D56" s="54"/>
      <c r="E56" s="54"/>
      <c r="F56" s="54"/>
      <c r="G56" s="54"/>
      <c r="H56" s="54"/>
    </row>
    <row r="57" spans="2:9" ht="15.75">
      <c r="B57" s="61" t="s">
        <v>101</v>
      </c>
      <c r="C57" s="54"/>
      <c r="D57" s="54"/>
      <c r="E57" s="62">
        <f>(E46*H29*G5)/2000</f>
        <v>99</v>
      </c>
      <c r="F57" s="63">
        <f>(F46*H29*G5)/2000</f>
        <v>0</v>
      </c>
      <c r="G57" s="62">
        <f>(G46*H29*G5)/2000</f>
        <v>49.5</v>
      </c>
      <c r="H57" s="62">
        <f>(H46*H29*G5)/2000</f>
        <v>57.75</v>
      </c>
      <c r="I57" s="62">
        <f>(I46*H29*G5)/2000</f>
        <v>1.65</v>
      </c>
    </row>
    <row r="58" spans="2:9" ht="15.75">
      <c r="B58" s="59" t="s">
        <v>102</v>
      </c>
      <c r="C58" s="54"/>
      <c r="D58" s="54"/>
      <c r="E58" s="62"/>
      <c r="F58" s="64"/>
      <c r="G58" s="64"/>
      <c r="H58" s="64"/>
      <c r="I58" s="65"/>
    </row>
    <row r="59" spans="2:9" ht="15.75">
      <c r="B59" s="61" t="s">
        <v>101</v>
      </c>
      <c r="C59" s="54"/>
      <c r="D59" s="54"/>
      <c r="E59" s="62">
        <f>(E48*$H$30*$G$5)/2000</f>
        <v>0</v>
      </c>
      <c r="F59" s="62">
        <f>(F48*$H$30*$G$5)/2000</f>
        <v>138.75</v>
      </c>
      <c r="G59" s="62">
        <f>(G48*$H$30*$G$5)/2000</f>
        <v>0</v>
      </c>
      <c r="H59" s="62">
        <f>(H48*$H$30*$G$5)/2000</f>
        <v>0</v>
      </c>
      <c r="I59" s="62">
        <f>(I48*$H$30*$G$5)/2000</f>
        <v>0.75</v>
      </c>
    </row>
    <row r="60" spans="2:9" ht="15.75">
      <c r="B60" s="61" t="s">
        <v>103</v>
      </c>
      <c r="C60" s="54"/>
      <c r="D60" s="54"/>
      <c r="E60" s="62">
        <f>(E49*$H$33*($G$7+$G$8))/2000</f>
        <v>0</v>
      </c>
      <c r="F60" s="62">
        <f>(F49*$H$33*($G$7+$G$8))/2000</f>
        <v>90</v>
      </c>
      <c r="G60" s="62">
        <f>(G49*$H$33*($G$7+$G$8))/2000</f>
        <v>0</v>
      </c>
      <c r="H60" s="62">
        <f>(H49*$H$33*($G$7+$G$8))/2000</f>
        <v>0</v>
      </c>
      <c r="I60" s="62">
        <f>(I49*$H$33*($G$7+$G$8))/2000</f>
        <v>0.72</v>
      </c>
    </row>
    <row r="61" spans="2:9" ht="15.75">
      <c r="B61" s="61" t="s">
        <v>49</v>
      </c>
      <c r="C61" s="54"/>
      <c r="D61" s="54"/>
      <c r="E61" s="62">
        <f>(E50*$H$36*$G$6)/2000</f>
        <v>0</v>
      </c>
      <c r="F61" s="62">
        <f>(F50*$H$36*$G$6)/2000</f>
        <v>29.4</v>
      </c>
      <c r="G61" s="62">
        <f>(G50*$H$36*$G$6)/2000</f>
        <v>0</v>
      </c>
      <c r="H61" s="62">
        <f>(H50*$H$36*$G$6)/2000</f>
        <v>2.1</v>
      </c>
      <c r="I61" s="62">
        <f>(I50*$H$36*$G$6)/2000</f>
        <v>0.21</v>
      </c>
    </row>
    <row r="62" spans="2:9" ht="15.75">
      <c r="B62" s="61" t="s">
        <v>55</v>
      </c>
      <c r="C62" s="54"/>
      <c r="D62" s="54"/>
      <c r="E62" s="66">
        <f>(E51*$H$39*$G$9)/2000</f>
        <v>0</v>
      </c>
      <c r="F62" s="66">
        <f>(F51*$H$39*$G$9)/2000</f>
        <v>18</v>
      </c>
      <c r="G62" s="66">
        <f>(G51*$H$39*$G$9)/2000</f>
        <v>0</v>
      </c>
      <c r="H62" s="66">
        <f>(H51*$H$39*$G$9)/2000</f>
        <v>3.6</v>
      </c>
      <c r="I62" s="66">
        <f>(I51*$H$39*$G$9)/2000</f>
        <v>0.12</v>
      </c>
    </row>
    <row r="63" spans="2:9" ht="15">
      <c r="B63" s="60" t="s">
        <v>244</v>
      </c>
      <c r="E63" s="62">
        <f>SUM(E57:E62)</f>
        <v>99</v>
      </c>
      <c r="F63" s="62">
        <f>SUM(F57:F62)</f>
        <v>276.15</v>
      </c>
      <c r="G63" s="62">
        <f>SUM(G57:G62)</f>
        <v>49.5</v>
      </c>
      <c r="H63" s="62">
        <f>SUM(H57:H62)</f>
        <v>63.45</v>
      </c>
      <c r="I63" s="62">
        <f>SUM(I57:I62)</f>
        <v>3.45</v>
      </c>
    </row>
    <row r="64" spans="5:6" ht="15">
      <c r="E64" s="60"/>
      <c r="F64" s="75"/>
    </row>
    <row r="66" spans="2:6" ht="15">
      <c r="B66" s="92" t="s">
        <v>362</v>
      </c>
      <c r="F66" s="93" t="s">
        <v>104</v>
      </c>
    </row>
    <row r="67" spans="2:7" ht="15.75">
      <c r="B67" s="60" t="s">
        <v>98</v>
      </c>
      <c r="F67" s="45">
        <v>105</v>
      </c>
      <c r="G67" s="60" t="s">
        <v>105</v>
      </c>
    </row>
    <row r="68" spans="2:7" ht="15.75">
      <c r="B68" s="60" t="s">
        <v>106</v>
      </c>
      <c r="F68" s="45">
        <v>60</v>
      </c>
      <c r="G68" s="60" t="s">
        <v>105</v>
      </c>
    </row>
    <row r="69" spans="2:7" ht="15.75">
      <c r="B69" s="60" t="s">
        <v>107</v>
      </c>
      <c r="F69" s="45">
        <v>50</v>
      </c>
      <c r="G69" s="60" t="s">
        <v>105</v>
      </c>
    </row>
    <row r="70" spans="2:7" ht="15.75">
      <c r="B70" s="60" t="s">
        <v>108</v>
      </c>
      <c r="F70" s="45">
        <v>22.55</v>
      </c>
      <c r="G70" s="60" t="s">
        <v>109</v>
      </c>
    </row>
    <row r="71" spans="2:7" ht="15.75">
      <c r="B71" s="60" t="s">
        <v>97</v>
      </c>
      <c r="F71" s="45">
        <v>25</v>
      </c>
      <c r="G71" s="60" t="s">
        <v>105</v>
      </c>
    </row>
    <row r="83" ht="15">
      <c r="B83" s="65"/>
    </row>
    <row r="84" spans="2:5" ht="15">
      <c r="B84" s="94"/>
      <c r="C84" s="94"/>
      <c r="D84" s="94"/>
      <c r="E84" s="95"/>
    </row>
    <row r="85" spans="2:5" ht="15.75">
      <c r="B85" s="94"/>
      <c r="C85" s="94"/>
      <c r="D85" s="39"/>
      <c r="E85" s="94"/>
    </row>
    <row r="86" spans="2:5" ht="15">
      <c r="B86" s="94"/>
      <c r="C86" s="94"/>
      <c r="D86" s="94"/>
      <c r="E86" s="94"/>
    </row>
    <row r="304" ht="15">
      <c r="I304" s="77" t="s">
        <v>10</v>
      </c>
    </row>
    <row r="305" ht="15">
      <c r="I305" s="77" t="s">
        <v>10</v>
      </c>
    </row>
  </sheetData>
  <sheetProtection password="C7C6" sheet="1" objects="1" scenarios="1"/>
  <mergeCells count="5">
    <mergeCell ref="B53:I53"/>
    <mergeCell ref="B42:I42"/>
    <mergeCell ref="B26:H26"/>
    <mergeCell ref="B2:H2"/>
    <mergeCell ref="B3:H3"/>
  </mergeCells>
  <printOptions horizontalCentered="1"/>
  <pageMargins left="0.75" right="0.75" top="1" bottom="1" header="0.5" footer="0.5"/>
  <pageSetup firstPageNumber="3" useFirstPageNumber="1" fitToHeight="2" fitToWidth="1" horizontalDpi="300" verticalDpi="300" orientation="portrait" paperSize="42" r:id="rId1"/>
  <headerFooter alignWithMargins="0">
    <oddHeader>&amp;LGuidelines: Equine Ranching&amp;R&amp;P</oddHeader>
    <oddFooter>&amp;RManitoba Agriculture and Food
&amp;"Arial,Italic"Farm Management</oddFoot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codeName="Sheet4"/>
  <dimension ref="B4:J34"/>
  <sheetViews>
    <sheetView showGridLines="0" workbookViewId="0" topLeftCell="A1">
      <selection activeCell="A1" sqref="A1"/>
    </sheetView>
  </sheetViews>
  <sheetFormatPr defaultColWidth="9.140625" defaultRowHeight="12.75"/>
  <cols>
    <col min="1" max="4" width="9.140625" style="2" customWidth="1"/>
    <col min="5" max="5" width="9.57421875" style="2" bestFit="1" customWidth="1"/>
    <col min="6" max="6" width="9.140625" style="2" customWidth="1"/>
    <col min="7" max="7" width="6.57421875" style="2" customWidth="1"/>
    <col min="8" max="8" width="12.28125" style="2" customWidth="1"/>
    <col min="9" max="9" width="10.140625" style="2" customWidth="1"/>
    <col min="10" max="16384" width="9.140625" style="2" customWidth="1"/>
  </cols>
  <sheetData>
    <row r="4" spans="2:10" ht="18">
      <c r="B4" s="137" t="s">
        <v>110</v>
      </c>
      <c r="C4" s="137"/>
      <c r="D4" s="137"/>
      <c r="E4" s="137"/>
      <c r="F4" s="137"/>
      <c r="G4" s="137"/>
      <c r="H4" s="137"/>
      <c r="I4" s="137"/>
      <c r="J4" s="137"/>
    </row>
    <row r="5" ht="15">
      <c r="F5" s="1"/>
    </row>
    <row r="6" spans="2:8" ht="15.75">
      <c r="B6" s="3" t="s">
        <v>111</v>
      </c>
      <c r="F6" s="1"/>
      <c r="G6" s="34">
        <v>5</v>
      </c>
      <c r="H6" s="2" t="s">
        <v>62</v>
      </c>
    </row>
    <row r="7" spans="6:10" ht="15.75">
      <c r="F7" s="1"/>
      <c r="H7" s="29" t="s">
        <v>112</v>
      </c>
      <c r="I7" s="29" t="s">
        <v>113</v>
      </c>
      <c r="J7" s="3" t="s">
        <v>114</v>
      </c>
    </row>
    <row r="8" spans="6:10" ht="15.75">
      <c r="F8" s="1"/>
      <c r="H8" s="26" t="s">
        <v>115</v>
      </c>
      <c r="I8" s="26" t="s">
        <v>116</v>
      </c>
      <c r="J8" s="18" t="s">
        <v>117</v>
      </c>
    </row>
    <row r="9" spans="2:8" ht="15.75">
      <c r="B9" s="16" t="s">
        <v>118</v>
      </c>
      <c r="F9" s="1"/>
      <c r="H9" s="2" t="s">
        <v>10</v>
      </c>
    </row>
    <row r="10" spans="2:6" ht="18">
      <c r="B10" s="2" t="s">
        <v>341</v>
      </c>
      <c r="F10" s="1"/>
    </row>
    <row r="11" spans="2:8" ht="15.75">
      <c r="B11" s="2" t="s">
        <v>119</v>
      </c>
      <c r="F11" s="1" t="s">
        <v>10</v>
      </c>
      <c r="H11" s="35">
        <v>276640</v>
      </c>
    </row>
    <row r="12" spans="2:9" ht="15.75">
      <c r="B12" s="2" t="s">
        <v>120</v>
      </c>
      <c r="F12" s="1" t="s">
        <v>10</v>
      </c>
      <c r="H12" s="36">
        <v>5000</v>
      </c>
      <c r="I12" s="23"/>
    </row>
    <row r="13" spans="2:10" ht="15.75">
      <c r="B13" s="16" t="s">
        <v>121</v>
      </c>
      <c r="F13" s="15" t="s">
        <v>10</v>
      </c>
      <c r="H13" s="27">
        <f>SUM(H10:H12)</f>
        <v>281640</v>
      </c>
      <c r="I13" s="25">
        <v>5</v>
      </c>
      <c r="J13" s="25">
        <v>20</v>
      </c>
    </row>
    <row r="14" ht="15">
      <c r="F14" s="1"/>
    </row>
    <row r="15" spans="2:8" ht="15.75">
      <c r="B15" s="16" t="s">
        <v>122</v>
      </c>
      <c r="F15" s="1"/>
      <c r="H15" s="2" t="s">
        <v>10</v>
      </c>
    </row>
    <row r="16" spans="2:8" ht="15.75">
      <c r="B16" s="2" t="s">
        <v>123</v>
      </c>
      <c r="F16" s="1" t="s">
        <v>10</v>
      </c>
      <c r="H16" s="35">
        <v>8000</v>
      </c>
    </row>
    <row r="17" spans="2:8" ht="15.75">
      <c r="B17" s="2" t="s">
        <v>124</v>
      </c>
      <c r="F17" s="1" t="s">
        <v>10</v>
      </c>
      <c r="H17" s="35">
        <v>1000</v>
      </c>
    </row>
    <row r="18" spans="2:8" ht="15.75">
      <c r="B18" s="2" t="s">
        <v>125</v>
      </c>
      <c r="F18" s="1" t="s">
        <v>10</v>
      </c>
      <c r="H18" s="35">
        <v>5000</v>
      </c>
    </row>
    <row r="19" spans="2:8" ht="15.75">
      <c r="B19" s="2" t="s">
        <v>126</v>
      </c>
      <c r="F19" s="1" t="s">
        <v>10</v>
      </c>
      <c r="H19" s="35">
        <v>6500</v>
      </c>
    </row>
    <row r="20" spans="2:8" ht="15.75">
      <c r="B20" s="2" t="s">
        <v>127</v>
      </c>
      <c r="F20" s="1" t="s">
        <v>10</v>
      </c>
      <c r="H20" s="36">
        <v>20000</v>
      </c>
    </row>
    <row r="21" spans="2:10" ht="15.75">
      <c r="B21" s="16" t="s">
        <v>128</v>
      </c>
      <c r="F21" s="1"/>
      <c r="H21" s="27">
        <f>SUM(H16:H20)</f>
        <v>40500</v>
      </c>
      <c r="I21" s="25">
        <v>10</v>
      </c>
      <c r="J21" s="25">
        <v>10</v>
      </c>
    </row>
    <row r="22" ht="15">
      <c r="F22" s="1"/>
    </row>
    <row r="23" spans="2:6" ht="15.75">
      <c r="B23" s="16" t="s">
        <v>129</v>
      </c>
      <c r="F23" s="1"/>
    </row>
    <row r="24" spans="2:8" ht="15.75">
      <c r="B24" s="2" t="s">
        <v>130</v>
      </c>
      <c r="F24" s="1" t="s">
        <v>10</v>
      </c>
      <c r="H24" s="35">
        <v>40000</v>
      </c>
    </row>
    <row r="25" ht="15">
      <c r="F25" s="1"/>
    </row>
    <row r="26" spans="2:6" ht="15.75">
      <c r="B26" s="16" t="s">
        <v>131</v>
      </c>
      <c r="F26" s="1"/>
    </row>
    <row r="27" spans="2:8" ht="15.75">
      <c r="B27" s="2" t="s">
        <v>132</v>
      </c>
      <c r="E27" s="49" t="str">
        <f>Assumptions!G5+Assumptions!G7&amp;"@"</f>
        <v>120@</v>
      </c>
      <c r="F27" s="35">
        <v>1700</v>
      </c>
      <c r="G27" s="2" t="s">
        <v>133</v>
      </c>
      <c r="H27" s="17">
        <f>(Assumptions!G5+Assumptions!G7)*F27</f>
        <v>204000</v>
      </c>
    </row>
    <row r="28" spans="2:8" ht="15.75">
      <c r="B28" s="2" t="s">
        <v>88</v>
      </c>
      <c r="E28" s="49" t="str">
        <f>Assumptions!G6&amp;"@"</f>
        <v>7@</v>
      </c>
      <c r="F28" s="35">
        <v>3500</v>
      </c>
      <c r="G28" s="2" t="s">
        <v>134</v>
      </c>
      <c r="H28" s="17">
        <f>(Assumptions!G6)*F28</f>
        <v>24500</v>
      </c>
    </row>
    <row r="29" spans="2:8" ht="15.75">
      <c r="B29" s="2" t="s">
        <v>135</v>
      </c>
      <c r="E29" s="49" t="str">
        <f>Assumptions!G8&amp;"@"</f>
        <v>10@</v>
      </c>
      <c r="F29" s="35">
        <v>1000</v>
      </c>
      <c r="G29" s="2" t="s">
        <v>136</v>
      </c>
      <c r="H29" s="17">
        <f>(Assumptions!G8)*F29</f>
        <v>10000</v>
      </c>
    </row>
    <row r="30" spans="2:8" ht="15.75">
      <c r="B30" s="2" t="s">
        <v>91</v>
      </c>
      <c r="E30" s="49" t="str">
        <f>Assumptions!G9&amp;"@"</f>
        <v>10@</v>
      </c>
      <c r="F30" s="35">
        <v>500</v>
      </c>
      <c r="G30" s="2" t="s">
        <v>137</v>
      </c>
      <c r="H30" s="28">
        <f>(Assumptions!G9)*F30</f>
        <v>5000</v>
      </c>
    </row>
    <row r="31" spans="2:8" ht="15.75">
      <c r="B31" s="16" t="s">
        <v>138</v>
      </c>
      <c r="F31" s="1"/>
      <c r="H31" s="27">
        <f>SUM(H27:H30)</f>
        <v>243500</v>
      </c>
    </row>
    <row r="32" ht="15">
      <c r="F32" s="1"/>
    </row>
    <row r="33" spans="2:8" ht="15.75">
      <c r="B33" s="16" t="s">
        <v>139</v>
      </c>
      <c r="F33" s="1" t="s">
        <v>10</v>
      </c>
      <c r="H33" s="27">
        <f>H13+H21+H24+H31</f>
        <v>605640</v>
      </c>
    </row>
    <row r="34" ht="15">
      <c r="F34" s="1"/>
    </row>
  </sheetData>
  <sheetProtection password="C7C6" sheet="1" objects="1" scenarios="1"/>
  <mergeCells count="1">
    <mergeCell ref="B4:J4"/>
  </mergeCells>
  <printOptions horizontalCentered="1"/>
  <pageMargins left="0.75" right="0.75" top="1" bottom="1" header="0.5" footer="0.5"/>
  <pageSetup horizontalDpi="300" verticalDpi="300" orientation="portrait" paperSize="42" scale="97" r:id="rId1"/>
</worksheet>
</file>

<file path=xl/worksheets/sheet5.xml><?xml version="1.0" encoding="utf-8"?>
<worksheet xmlns="http://schemas.openxmlformats.org/spreadsheetml/2006/main" xmlns:r="http://schemas.openxmlformats.org/officeDocument/2006/relationships">
  <sheetPr codeName="Sheet5"/>
  <dimension ref="A3:H82"/>
  <sheetViews>
    <sheetView showGridLines="0" workbookViewId="0" topLeftCell="A1">
      <selection activeCell="A1" sqref="A1"/>
    </sheetView>
  </sheetViews>
  <sheetFormatPr defaultColWidth="9.140625" defaultRowHeight="12.75"/>
  <cols>
    <col min="1" max="1" width="15.7109375" style="60" customWidth="1"/>
    <col min="2" max="2" width="10.28125" style="60" customWidth="1"/>
    <col min="3" max="3" width="5.00390625" style="60" customWidth="1"/>
    <col min="4" max="4" width="10.421875" style="60" customWidth="1"/>
    <col min="5" max="5" width="5.421875" style="60" customWidth="1"/>
    <col min="6" max="6" width="12.57421875" style="60" customWidth="1"/>
    <col min="7" max="7" width="10.8515625" style="60" customWidth="1"/>
    <col min="8" max="8" width="17.140625" style="60" customWidth="1"/>
    <col min="9" max="16384" width="9.140625" style="60" customWidth="1"/>
  </cols>
  <sheetData>
    <row r="3" spans="1:8" ht="18">
      <c r="A3" s="138" t="s">
        <v>140</v>
      </c>
      <c r="B3" s="138"/>
      <c r="C3" s="138"/>
      <c r="D3" s="138"/>
      <c r="E3" s="138"/>
      <c r="F3" s="138"/>
      <c r="G3" s="138"/>
      <c r="H3" s="138"/>
    </row>
    <row r="4" spans="1:8" ht="15">
      <c r="A4" s="15"/>
      <c r="D4" s="75"/>
      <c r="E4" s="75"/>
      <c r="F4" s="75"/>
      <c r="G4" s="75"/>
      <c r="H4" s="75"/>
    </row>
    <row r="5" spans="1:8" ht="15.75">
      <c r="A5" s="60" t="s">
        <v>141</v>
      </c>
      <c r="D5" s="75"/>
      <c r="E5" s="75"/>
      <c r="F5" s="51">
        <v>1.75</v>
      </c>
      <c r="G5" s="102" t="s">
        <v>142</v>
      </c>
      <c r="H5" s="75"/>
    </row>
    <row r="6" spans="5:8" ht="15">
      <c r="E6" s="75"/>
      <c r="H6" s="77" t="s">
        <v>10</v>
      </c>
    </row>
    <row r="7" spans="1:6" ht="15">
      <c r="A7" s="60" t="s">
        <v>144</v>
      </c>
      <c r="E7" s="75"/>
      <c r="F7" s="60" t="s">
        <v>10</v>
      </c>
    </row>
    <row r="8" spans="1:6" ht="15">
      <c r="A8" s="60" t="s">
        <v>145</v>
      </c>
      <c r="E8" s="75"/>
      <c r="F8" s="60" t="s">
        <v>10</v>
      </c>
    </row>
    <row r="9" spans="1:7" ht="15.75">
      <c r="A9" s="60" t="s">
        <v>146</v>
      </c>
      <c r="E9" s="75"/>
      <c r="F9" s="52">
        <v>10</v>
      </c>
      <c r="G9" s="102" t="s">
        <v>147</v>
      </c>
    </row>
    <row r="10" spans="1:5" ht="15">
      <c r="A10" s="60" t="s">
        <v>148</v>
      </c>
      <c r="E10" s="75"/>
    </row>
    <row r="11" spans="1:7" ht="15.75">
      <c r="A11" s="60" t="s">
        <v>149</v>
      </c>
      <c r="E11" s="75"/>
      <c r="F11" s="53">
        <v>2</v>
      </c>
      <c r="G11" s="102" t="s">
        <v>150</v>
      </c>
    </row>
    <row r="12" spans="1:7" ht="15.75">
      <c r="A12" s="60" t="s">
        <v>151</v>
      </c>
      <c r="E12" s="75"/>
      <c r="F12" s="53">
        <v>1</v>
      </c>
      <c r="G12" s="102" t="s">
        <v>150</v>
      </c>
    </row>
    <row r="13" spans="1:7" ht="15.75">
      <c r="A13" s="60" t="s">
        <v>152</v>
      </c>
      <c r="E13" s="75"/>
      <c r="F13" s="53">
        <v>2</v>
      </c>
      <c r="G13" s="102" t="s">
        <v>150</v>
      </c>
    </row>
    <row r="14" spans="1:7" ht="15.75">
      <c r="A14" s="60" t="s">
        <v>153</v>
      </c>
      <c r="E14" s="75"/>
      <c r="F14" s="53">
        <v>3</v>
      </c>
      <c r="G14" s="102" t="s">
        <v>150</v>
      </c>
    </row>
    <row r="15" ht="15">
      <c r="E15" s="75"/>
    </row>
    <row r="16" spans="1:5" ht="15">
      <c r="A16" s="60" t="s">
        <v>369</v>
      </c>
      <c r="E16" s="75"/>
    </row>
    <row r="17" spans="1:7" ht="15.75">
      <c r="A17" s="60" t="s">
        <v>366</v>
      </c>
      <c r="E17" s="75"/>
      <c r="F17" s="37">
        <v>50</v>
      </c>
      <c r="G17" s="102" t="s">
        <v>147</v>
      </c>
    </row>
    <row r="18" spans="1:7" ht="15.75">
      <c r="A18" s="60" t="s">
        <v>367</v>
      </c>
      <c r="E18" s="75"/>
      <c r="F18" s="68">
        <v>15</v>
      </c>
      <c r="G18" s="102" t="s">
        <v>368</v>
      </c>
    </row>
    <row r="19" ht="15">
      <c r="E19" s="75"/>
    </row>
    <row r="20" spans="1:5" ht="15">
      <c r="A20" s="60" t="s">
        <v>154</v>
      </c>
      <c r="E20" s="75"/>
    </row>
    <row r="21" spans="1:7" ht="15.75">
      <c r="A21" s="60" t="s">
        <v>155</v>
      </c>
      <c r="E21" s="75"/>
      <c r="F21" s="37">
        <v>3</v>
      </c>
      <c r="G21" s="102" t="s">
        <v>147</v>
      </c>
    </row>
    <row r="22" spans="1:7" ht="15.75">
      <c r="A22" s="60" t="s">
        <v>148</v>
      </c>
      <c r="E22" s="75"/>
      <c r="G22" s="102"/>
    </row>
    <row r="23" spans="1:7" ht="15.75">
      <c r="A23" s="60" t="s">
        <v>156</v>
      </c>
      <c r="E23" s="75"/>
      <c r="F23" s="25">
        <v>1</v>
      </c>
      <c r="G23" s="102" t="s">
        <v>150</v>
      </c>
    </row>
    <row r="24" spans="1:7" ht="15.75">
      <c r="A24" s="60" t="s">
        <v>153</v>
      </c>
      <c r="E24" s="75"/>
      <c r="F24" s="25">
        <v>1</v>
      </c>
      <c r="G24" s="102" t="s">
        <v>150</v>
      </c>
    </row>
    <row r="25" spans="5:7" ht="15.75">
      <c r="E25" s="75"/>
      <c r="G25" s="102"/>
    </row>
    <row r="26" spans="1:7" ht="15.75">
      <c r="A26" s="60" t="s">
        <v>157</v>
      </c>
      <c r="E26" s="75"/>
      <c r="G26" s="102"/>
    </row>
    <row r="27" spans="1:7" ht="15.75">
      <c r="A27" s="60" t="s">
        <v>158</v>
      </c>
      <c r="E27" s="75"/>
      <c r="F27" s="37">
        <v>13</v>
      </c>
      <c r="G27" s="102" t="s">
        <v>147</v>
      </c>
    </row>
    <row r="28" spans="1:7" ht="15.75">
      <c r="A28" s="60" t="s">
        <v>148</v>
      </c>
      <c r="E28" s="75"/>
      <c r="G28" s="102"/>
    </row>
    <row r="29" spans="1:7" ht="15.75">
      <c r="A29" s="60" t="s">
        <v>156</v>
      </c>
      <c r="E29" s="75"/>
      <c r="F29" s="25">
        <v>2</v>
      </c>
      <c r="G29" s="102" t="s">
        <v>150</v>
      </c>
    </row>
    <row r="30" spans="5:8" ht="15">
      <c r="E30" s="75"/>
      <c r="H30" s="77" t="s">
        <v>10</v>
      </c>
    </row>
    <row r="31" ht="15">
      <c r="E31" s="75"/>
    </row>
    <row r="32" spans="1:7" ht="15.75">
      <c r="A32" s="60" t="s">
        <v>159</v>
      </c>
      <c r="E32" s="75"/>
      <c r="F32" s="37">
        <v>3.5</v>
      </c>
      <c r="G32" s="102" t="s">
        <v>68</v>
      </c>
    </row>
    <row r="33" spans="1:8" ht="15.75">
      <c r="A33" s="60" t="s">
        <v>160</v>
      </c>
      <c r="E33" s="75"/>
      <c r="F33" s="37">
        <v>77</v>
      </c>
      <c r="G33" s="102" t="s">
        <v>161</v>
      </c>
      <c r="H33" s="77" t="s">
        <v>10</v>
      </c>
    </row>
    <row r="34" spans="5:7" ht="15.75">
      <c r="E34" s="75"/>
      <c r="G34" s="102"/>
    </row>
    <row r="35" spans="1:7" ht="15.75">
      <c r="A35" s="60" t="s">
        <v>162</v>
      </c>
      <c r="E35" s="75"/>
      <c r="G35" s="102"/>
    </row>
    <row r="36" spans="1:7" ht="15.75">
      <c r="A36" s="60" t="s">
        <v>163</v>
      </c>
      <c r="E36" s="75"/>
      <c r="G36" s="102"/>
    </row>
    <row r="37" spans="1:7" ht="15.75">
      <c r="A37" s="60" t="s">
        <v>164</v>
      </c>
      <c r="E37" s="75"/>
      <c r="F37" s="25">
        <v>20</v>
      </c>
      <c r="G37" s="102" t="s">
        <v>165</v>
      </c>
    </row>
    <row r="38" spans="1:7" ht="15.75">
      <c r="A38" s="60" t="s">
        <v>166</v>
      </c>
      <c r="E38" s="75"/>
      <c r="F38" s="37">
        <v>100</v>
      </c>
      <c r="G38" s="102" t="s">
        <v>167</v>
      </c>
    </row>
    <row r="39" spans="5:7" ht="15.75">
      <c r="E39" s="75"/>
      <c r="F39" s="60" t="s">
        <v>10</v>
      </c>
      <c r="G39" s="102"/>
    </row>
    <row r="40" spans="1:7" ht="15.75">
      <c r="A40" s="60" t="s">
        <v>168</v>
      </c>
      <c r="E40" s="75"/>
      <c r="F40" s="60" t="s">
        <v>10</v>
      </c>
      <c r="G40" s="102"/>
    </row>
    <row r="41" spans="1:7" ht="15.75">
      <c r="A41" s="60" t="s">
        <v>169</v>
      </c>
      <c r="E41" s="75"/>
      <c r="F41" s="25">
        <v>100</v>
      </c>
      <c r="G41" s="102" t="s">
        <v>170</v>
      </c>
    </row>
    <row r="42" spans="1:7" ht="15.75">
      <c r="A42" s="60" t="s">
        <v>171</v>
      </c>
      <c r="E42" s="75"/>
      <c r="F42" s="37">
        <v>0.9</v>
      </c>
      <c r="G42" s="102" t="s">
        <v>172</v>
      </c>
    </row>
    <row r="43" spans="1:7" ht="15.75">
      <c r="A43" s="60" t="s">
        <v>173</v>
      </c>
      <c r="E43" s="75"/>
      <c r="F43" s="25">
        <v>5</v>
      </c>
      <c r="G43" s="102"/>
    </row>
    <row r="44" spans="5:7" ht="15.75">
      <c r="E44" s="75"/>
      <c r="G44" s="102"/>
    </row>
    <row r="45" spans="1:7" ht="15.75">
      <c r="A45" s="60" t="s">
        <v>174</v>
      </c>
      <c r="E45" s="75"/>
      <c r="G45" s="102"/>
    </row>
    <row r="46" spans="1:7" ht="15.75">
      <c r="A46" s="60" t="s">
        <v>175</v>
      </c>
      <c r="E46" s="75"/>
      <c r="F46" s="37">
        <v>0.75</v>
      </c>
      <c r="G46" s="102" t="s">
        <v>176</v>
      </c>
    </row>
    <row r="47" spans="1:7" ht="15.75">
      <c r="A47" s="60" t="s">
        <v>177</v>
      </c>
      <c r="E47" s="75"/>
      <c r="F47" s="37">
        <v>0.6</v>
      </c>
      <c r="G47" s="102" t="s">
        <v>176</v>
      </c>
    </row>
    <row r="48" spans="1:7" ht="15.75">
      <c r="A48" s="60" t="s">
        <v>178</v>
      </c>
      <c r="E48" s="75"/>
      <c r="F48" s="37">
        <v>45</v>
      </c>
      <c r="G48" s="102" t="s">
        <v>179</v>
      </c>
    </row>
    <row r="49" spans="5:7" ht="15.75">
      <c r="E49" s="75"/>
      <c r="G49" s="102"/>
    </row>
    <row r="50" spans="1:7" ht="15.75">
      <c r="A50" s="60" t="s">
        <v>180</v>
      </c>
      <c r="E50" s="75"/>
      <c r="G50" s="102"/>
    </row>
    <row r="51" spans="1:7" ht="15.75">
      <c r="A51" s="60" t="s">
        <v>181</v>
      </c>
      <c r="E51" s="75"/>
      <c r="F51" s="35">
        <v>1000</v>
      </c>
      <c r="G51" s="102" t="s">
        <v>179</v>
      </c>
    </row>
    <row r="52" spans="1:7" ht="15.75">
      <c r="A52" s="60" t="s">
        <v>182</v>
      </c>
      <c r="E52" s="75"/>
      <c r="F52" s="35">
        <v>1000</v>
      </c>
      <c r="G52" s="102" t="s">
        <v>179</v>
      </c>
    </row>
    <row r="53" spans="1:7" ht="15.75">
      <c r="A53" s="60" t="s">
        <v>183</v>
      </c>
      <c r="E53" s="75"/>
      <c r="F53" s="35">
        <v>850</v>
      </c>
      <c r="G53" s="102" t="s">
        <v>179</v>
      </c>
    </row>
    <row r="54" spans="5:7" ht="15.75">
      <c r="E54" s="75"/>
      <c r="G54" s="102"/>
    </row>
    <row r="55" spans="5:7" ht="15.75">
      <c r="E55" s="75"/>
      <c r="G55" s="102"/>
    </row>
    <row r="56" spans="1:7" ht="15.75">
      <c r="A56" s="60" t="s">
        <v>184</v>
      </c>
      <c r="E56" s="75"/>
      <c r="G56" s="102"/>
    </row>
    <row r="57" spans="1:7" ht="15.75">
      <c r="A57" s="60" t="s">
        <v>185</v>
      </c>
      <c r="E57" s="75"/>
      <c r="F57" s="37">
        <v>0.75</v>
      </c>
      <c r="G57" s="102" t="s">
        <v>348</v>
      </c>
    </row>
    <row r="58" spans="5:7" ht="15.75">
      <c r="E58" s="75"/>
      <c r="G58" s="102"/>
    </row>
    <row r="59" spans="1:7" ht="15.75">
      <c r="A59" s="60" t="s">
        <v>187</v>
      </c>
      <c r="E59" s="75"/>
      <c r="G59" s="102"/>
    </row>
    <row r="60" spans="1:7" ht="15.75">
      <c r="A60" s="60" t="s">
        <v>188</v>
      </c>
      <c r="E60" s="75"/>
      <c r="F60" s="35">
        <v>2000</v>
      </c>
      <c r="G60" s="102" t="s">
        <v>179</v>
      </c>
    </row>
    <row r="61" spans="5:7" ht="15.75">
      <c r="E61" s="75"/>
      <c r="G61" s="102"/>
    </row>
    <row r="62" spans="5:7" ht="15.75">
      <c r="E62" s="75"/>
      <c r="G62" s="102"/>
    </row>
    <row r="63" spans="1:7" ht="15.75">
      <c r="A63" s="60" t="s">
        <v>189</v>
      </c>
      <c r="E63" s="75"/>
      <c r="G63" s="102"/>
    </row>
    <row r="64" spans="1:7" ht="15.75">
      <c r="A64" s="60" t="s">
        <v>190</v>
      </c>
      <c r="E64" s="75"/>
      <c r="G64" s="102"/>
    </row>
    <row r="65" spans="1:7" ht="15.75">
      <c r="A65" s="60" t="s">
        <v>191</v>
      </c>
      <c r="E65" s="75"/>
      <c r="F65" s="37">
        <v>20</v>
      </c>
      <c r="G65" s="102" t="s">
        <v>186</v>
      </c>
    </row>
    <row r="66" spans="1:7" ht="15.75">
      <c r="A66" s="60" t="s">
        <v>192</v>
      </c>
      <c r="E66" s="75"/>
      <c r="F66" s="72" t="s">
        <v>10</v>
      </c>
      <c r="G66" s="102"/>
    </row>
    <row r="67" spans="1:7" ht="15.75">
      <c r="A67" s="60" t="s">
        <v>385</v>
      </c>
      <c r="E67" s="75"/>
      <c r="F67" s="37">
        <v>0</v>
      </c>
      <c r="G67" s="102" t="s">
        <v>386</v>
      </c>
    </row>
    <row r="68" spans="5:7" ht="15.75">
      <c r="E68" s="75"/>
      <c r="G68" s="102"/>
    </row>
    <row r="69" spans="1:7" ht="15.75">
      <c r="A69" s="60" t="s">
        <v>193</v>
      </c>
      <c r="E69" s="75"/>
      <c r="G69" s="102"/>
    </row>
    <row r="70" spans="1:7" ht="15.75">
      <c r="A70" s="60" t="s">
        <v>194</v>
      </c>
      <c r="E70" s="75"/>
      <c r="F70" s="35">
        <v>1200</v>
      </c>
      <c r="G70" s="102" t="s">
        <v>179</v>
      </c>
    </row>
    <row r="71" spans="5:7" ht="15.75">
      <c r="E71" s="75"/>
      <c r="G71" s="102"/>
    </row>
    <row r="72" spans="1:7" ht="15.75">
      <c r="A72" s="60" t="s">
        <v>195</v>
      </c>
      <c r="E72" s="75"/>
      <c r="G72" s="102"/>
    </row>
    <row r="73" spans="1:7" ht="15.75">
      <c r="A73" s="60" t="s">
        <v>196</v>
      </c>
      <c r="E73" s="75"/>
      <c r="F73" s="35">
        <v>2000</v>
      </c>
      <c r="G73" s="102" t="s">
        <v>179</v>
      </c>
    </row>
    <row r="74" spans="5:7" ht="15.75">
      <c r="E74" s="75"/>
      <c r="G74" s="102"/>
    </row>
    <row r="75" spans="1:7" ht="15.75">
      <c r="A75" s="60" t="s">
        <v>197</v>
      </c>
      <c r="E75" s="75"/>
      <c r="F75" s="50">
        <v>7.25</v>
      </c>
      <c r="G75" s="102" t="s">
        <v>62</v>
      </c>
    </row>
    <row r="76" spans="5:7" ht="15.75">
      <c r="E76" s="75"/>
      <c r="G76" s="102"/>
    </row>
    <row r="77" ht="15.75">
      <c r="G77" s="102"/>
    </row>
    <row r="78" spans="1:7" ht="15.75">
      <c r="A78" s="16" t="s">
        <v>198</v>
      </c>
      <c r="E78" s="75"/>
      <c r="G78" s="102"/>
    </row>
    <row r="79" spans="5:8" ht="15.75">
      <c r="E79" s="75"/>
      <c r="G79" s="102"/>
      <c r="H79" s="77" t="s">
        <v>10</v>
      </c>
    </row>
    <row r="80" spans="1:7" ht="15.75">
      <c r="A80" s="60" t="s">
        <v>199</v>
      </c>
      <c r="E80" s="75"/>
      <c r="F80" s="38">
        <v>6</v>
      </c>
      <c r="G80" s="102" t="s">
        <v>165</v>
      </c>
    </row>
    <row r="81" spans="1:7" ht="15.75">
      <c r="A81" s="60" t="s">
        <v>200</v>
      </c>
      <c r="E81" s="75"/>
      <c r="F81" s="38">
        <v>1</v>
      </c>
      <c r="G81" s="102" t="s">
        <v>165</v>
      </c>
    </row>
    <row r="82" spans="1:7" ht="15.75">
      <c r="A82" s="60" t="s">
        <v>201</v>
      </c>
      <c r="E82" s="75"/>
      <c r="F82" s="45">
        <v>10</v>
      </c>
      <c r="G82" s="102" t="s">
        <v>202</v>
      </c>
    </row>
  </sheetData>
  <sheetProtection password="C7C6" sheet="1" objects="1" scenarios="1"/>
  <mergeCells count="1">
    <mergeCell ref="A3:H3"/>
  </mergeCells>
  <printOptions horizontalCentered="1"/>
  <pageMargins left="0.75" right="0.75" top="1" bottom="1" header="0.5" footer="0.5"/>
  <pageSetup horizontalDpi="300" verticalDpi="300" orientation="portrait" paperSize="42" scale="93" r:id="rId1"/>
  <rowBreaks count="1" manualBreakCount="1">
    <brk id="39" max="255" man="1"/>
  </rowBreaks>
</worksheet>
</file>

<file path=xl/worksheets/sheet6.xml><?xml version="1.0" encoding="utf-8"?>
<worksheet xmlns="http://schemas.openxmlformats.org/spreadsheetml/2006/main" xmlns:r="http://schemas.openxmlformats.org/officeDocument/2006/relationships">
  <sheetPr codeName="Sheet6"/>
  <dimension ref="B1:AJ902"/>
  <sheetViews>
    <sheetView showGridLines="0" workbookViewId="0" topLeftCell="A1">
      <selection activeCell="A1" sqref="A1"/>
    </sheetView>
  </sheetViews>
  <sheetFormatPr defaultColWidth="9.140625" defaultRowHeight="12.75"/>
  <cols>
    <col min="1" max="1" width="4.7109375" style="60" customWidth="1"/>
    <col min="2" max="2" width="10.28125" style="60" customWidth="1"/>
    <col min="3" max="3" width="11.7109375" style="60" customWidth="1"/>
    <col min="4" max="4" width="3.7109375" style="60" customWidth="1"/>
    <col min="5" max="5" width="13.7109375" style="60" customWidth="1"/>
    <col min="6" max="6" width="1.7109375" style="60" customWidth="1"/>
    <col min="7" max="8" width="10.28125" style="60" customWidth="1"/>
    <col min="9" max="9" width="10.8515625" style="60" customWidth="1"/>
    <col min="10" max="10" width="13.7109375" style="60" customWidth="1"/>
    <col min="11" max="16384" width="10.28125" style="60" customWidth="1"/>
  </cols>
  <sheetData>
    <row r="1" ht="15">
      <c r="D1" s="19"/>
    </row>
    <row r="2" ht="15">
      <c r="K2" s="77" t="s">
        <v>10</v>
      </c>
    </row>
    <row r="3" spans="2:10" ht="18">
      <c r="B3" s="141" t="s">
        <v>203</v>
      </c>
      <c r="C3" s="142"/>
      <c r="D3" s="142"/>
      <c r="E3" s="142"/>
      <c r="F3" s="142"/>
      <c r="G3" s="142"/>
      <c r="H3" s="142"/>
      <c r="I3" s="142"/>
      <c r="J3" s="142"/>
    </row>
    <row r="5" ht="15.75">
      <c r="B5" s="16" t="s">
        <v>7</v>
      </c>
    </row>
    <row r="6" ht="15.75">
      <c r="J6" s="85" t="s">
        <v>204</v>
      </c>
    </row>
    <row r="7" ht="15.75">
      <c r="B7" s="16" t="s">
        <v>205</v>
      </c>
    </row>
    <row r="8" ht="15.75">
      <c r="B8" s="16" t="s">
        <v>206</v>
      </c>
    </row>
    <row r="9" ht="15">
      <c r="C9" s="19" t="s">
        <v>101</v>
      </c>
    </row>
    <row r="10" spans="5:10" ht="15">
      <c r="E10" s="88">
        <f>Assumptions!H29</f>
        <v>165</v>
      </c>
      <c r="G10" s="19" t="s">
        <v>207</v>
      </c>
      <c r="J10" s="73"/>
    </row>
    <row r="11" spans="4:10" ht="15">
      <c r="D11" s="32" t="s">
        <v>208</v>
      </c>
      <c r="E11" s="62">
        <f>Assumptions!E46</f>
        <v>12</v>
      </c>
      <c r="G11" s="19" t="s">
        <v>364</v>
      </c>
      <c r="J11" s="73"/>
    </row>
    <row r="12" spans="4:10" ht="15">
      <c r="D12" s="32" t="s">
        <v>208</v>
      </c>
      <c r="E12" s="19">
        <f>Assumptions!F69</f>
        <v>50</v>
      </c>
      <c r="G12" s="19" t="s">
        <v>143</v>
      </c>
      <c r="J12" s="73"/>
    </row>
    <row r="13" spans="2:10" ht="15">
      <c r="B13" s="77" t="s">
        <v>10</v>
      </c>
      <c r="D13" s="33" t="s">
        <v>209</v>
      </c>
      <c r="E13" s="96">
        <v>2000</v>
      </c>
      <c r="F13" s="74"/>
      <c r="G13" s="24" t="s">
        <v>210</v>
      </c>
      <c r="H13" s="97"/>
      <c r="J13" s="73"/>
    </row>
    <row r="14" spans="4:10" ht="15.75">
      <c r="D14" s="32" t="s">
        <v>211</v>
      </c>
      <c r="E14" s="16">
        <f>ROUND((E10*E11*E12)/E13,2)</f>
        <v>49.5</v>
      </c>
      <c r="F14" s="79"/>
      <c r="G14" s="16" t="s">
        <v>212</v>
      </c>
      <c r="H14" s="79"/>
      <c r="J14" s="73"/>
    </row>
    <row r="15" spans="2:11" ht="15">
      <c r="B15" s="75"/>
      <c r="C15" s="75"/>
      <c r="D15" s="15"/>
      <c r="E15" s="15"/>
      <c r="F15" s="75"/>
      <c r="G15" s="15"/>
      <c r="K15" s="75"/>
    </row>
    <row r="16" ht="15.75">
      <c r="B16" s="16" t="s">
        <v>213</v>
      </c>
    </row>
    <row r="17" ht="15">
      <c r="C17" s="19" t="s">
        <v>101</v>
      </c>
    </row>
    <row r="18" spans="5:10" ht="15">
      <c r="E18" s="88">
        <f>Assumptions!H29</f>
        <v>165</v>
      </c>
      <c r="G18" s="19" t="s">
        <v>207</v>
      </c>
      <c r="J18" s="73"/>
    </row>
    <row r="19" spans="4:10" ht="15">
      <c r="D19" s="32" t="s">
        <v>208</v>
      </c>
      <c r="E19" s="62">
        <f>Assumptions!G46</f>
        <v>6</v>
      </c>
      <c r="G19" s="19" t="s">
        <v>214</v>
      </c>
      <c r="J19" s="73"/>
    </row>
    <row r="20" spans="4:10" ht="15">
      <c r="D20" s="32" t="s">
        <v>208</v>
      </c>
      <c r="E20" s="19">
        <f>Assumptions!F71</f>
        <v>25</v>
      </c>
      <c r="G20" s="19" t="s">
        <v>215</v>
      </c>
      <c r="J20" s="73"/>
    </row>
    <row r="21" spans="4:10" ht="15">
      <c r="D21" s="33" t="s">
        <v>209</v>
      </c>
      <c r="E21" s="96">
        <v>2000</v>
      </c>
      <c r="F21" s="74"/>
      <c r="G21" s="24" t="s">
        <v>210</v>
      </c>
      <c r="H21" s="74"/>
      <c r="J21" s="73"/>
    </row>
    <row r="22" spans="4:10" ht="15.75">
      <c r="D22" s="32" t="s">
        <v>211</v>
      </c>
      <c r="E22" s="16">
        <f>ROUND((E18*E19*E20)/E21,2)</f>
        <v>12.38</v>
      </c>
      <c r="F22" s="79"/>
      <c r="G22" s="16" t="s">
        <v>212</v>
      </c>
      <c r="H22" s="79"/>
      <c r="J22" s="73"/>
    </row>
    <row r="24" ht="15.75">
      <c r="B24" s="16" t="s">
        <v>216</v>
      </c>
    </row>
    <row r="25" ht="15">
      <c r="C25" s="19" t="s">
        <v>101</v>
      </c>
    </row>
    <row r="26" spans="5:10" ht="15">
      <c r="E26" s="88">
        <f>Assumptions!H30</f>
        <v>75</v>
      </c>
      <c r="G26" s="19" t="s">
        <v>207</v>
      </c>
      <c r="J26" s="73"/>
    </row>
    <row r="27" spans="4:10" ht="15">
      <c r="D27" s="32" t="s">
        <v>208</v>
      </c>
      <c r="E27" s="62">
        <f>Assumptions!F48</f>
        <v>37</v>
      </c>
      <c r="G27" s="19" t="s">
        <v>217</v>
      </c>
      <c r="J27" s="73"/>
    </row>
    <row r="28" spans="4:10" ht="15">
      <c r="D28" s="32" t="s">
        <v>208</v>
      </c>
      <c r="E28" s="19">
        <f>Assumptions!F68</f>
        <v>60</v>
      </c>
      <c r="G28" s="19" t="s">
        <v>215</v>
      </c>
      <c r="J28" s="73"/>
    </row>
    <row r="29" spans="4:10" ht="15">
      <c r="D29" s="33" t="s">
        <v>209</v>
      </c>
      <c r="E29" s="96">
        <v>2000</v>
      </c>
      <c r="F29" s="74"/>
      <c r="G29" s="24" t="s">
        <v>210</v>
      </c>
      <c r="H29" s="19" t="s">
        <v>10</v>
      </c>
      <c r="J29" s="73"/>
    </row>
    <row r="30" spans="4:10" ht="15">
      <c r="D30" s="32" t="s">
        <v>211</v>
      </c>
      <c r="E30" s="19">
        <f>ROUND((E26*E27*E28)/E29,2)</f>
        <v>83.25</v>
      </c>
      <c r="G30" s="19" t="s">
        <v>212</v>
      </c>
      <c r="J30" s="73"/>
    </row>
    <row r="32" ht="15">
      <c r="C32" s="19" t="s">
        <v>374</v>
      </c>
    </row>
    <row r="33" spans="5:10" ht="15">
      <c r="E33" s="88">
        <f>Assumptions!G7+Assumptions!G8</f>
        <v>30</v>
      </c>
      <c r="G33" s="19" t="s">
        <v>218</v>
      </c>
      <c r="J33" s="73"/>
    </row>
    <row r="34" spans="4:10" ht="15">
      <c r="D34" s="32" t="s">
        <v>208</v>
      </c>
      <c r="E34" s="88">
        <f>Assumptions!H33</f>
        <v>240</v>
      </c>
      <c r="G34" s="19" t="s">
        <v>207</v>
      </c>
      <c r="J34" s="73"/>
    </row>
    <row r="35" spans="4:10" ht="15">
      <c r="D35" s="32" t="s">
        <v>208</v>
      </c>
      <c r="E35" s="62">
        <f>Assumptions!F49</f>
        <v>25</v>
      </c>
      <c r="G35" s="19" t="s">
        <v>217</v>
      </c>
      <c r="J35" s="73"/>
    </row>
    <row r="36" spans="4:10" ht="15">
      <c r="D36" s="32" t="s">
        <v>208</v>
      </c>
      <c r="E36" s="19">
        <f>Assumptions!F68</f>
        <v>60</v>
      </c>
      <c r="G36" s="19" t="s">
        <v>215</v>
      </c>
      <c r="J36" s="73"/>
    </row>
    <row r="37" spans="4:10" ht="15">
      <c r="D37" s="32" t="s">
        <v>209</v>
      </c>
      <c r="E37" s="88">
        <v>2000</v>
      </c>
      <c r="G37" s="19" t="s">
        <v>210</v>
      </c>
      <c r="J37" s="73"/>
    </row>
    <row r="38" spans="4:10" ht="15">
      <c r="D38" s="33" t="s">
        <v>209</v>
      </c>
      <c r="E38" s="96">
        <f>Assumptions!G5</f>
        <v>100</v>
      </c>
      <c r="F38" s="74"/>
      <c r="G38" s="24" t="s">
        <v>219</v>
      </c>
      <c r="H38" s="97"/>
      <c r="J38" s="73"/>
    </row>
    <row r="39" spans="4:10" ht="15">
      <c r="D39" s="32" t="s">
        <v>211</v>
      </c>
      <c r="E39" s="19">
        <f>ROUND((E33*E34*E35*E36)/E37/E38,2)</f>
        <v>54</v>
      </c>
      <c r="G39" s="19" t="s">
        <v>212</v>
      </c>
      <c r="J39" s="73"/>
    </row>
    <row r="41" ht="15">
      <c r="C41" s="19" t="s">
        <v>49</v>
      </c>
    </row>
    <row r="42" spans="5:10" ht="15">
      <c r="E42" s="88">
        <f>Assumptions!G6</f>
        <v>7</v>
      </c>
      <c r="G42" s="19" t="s">
        <v>220</v>
      </c>
      <c r="J42" s="73"/>
    </row>
    <row r="43" spans="4:10" ht="15">
      <c r="D43" s="32" t="s">
        <v>208</v>
      </c>
      <c r="E43" s="88">
        <f>Assumptions!H36</f>
        <v>300</v>
      </c>
      <c r="G43" s="19" t="s">
        <v>207</v>
      </c>
      <c r="J43" s="73"/>
    </row>
    <row r="44" spans="4:10" ht="15">
      <c r="D44" s="32" t="s">
        <v>208</v>
      </c>
      <c r="E44" s="62">
        <f>Assumptions!F50</f>
        <v>28</v>
      </c>
      <c r="G44" s="19" t="s">
        <v>217</v>
      </c>
      <c r="J44" s="73"/>
    </row>
    <row r="45" spans="4:10" ht="15">
      <c r="D45" s="32" t="s">
        <v>208</v>
      </c>
      <c r="E45" s="19">
        <f>Assumptions!F68</f>
        <v>60</v>
      </c>
      <c r="G45" s="19" t="s">
        <v>215</v>
      </c>
      <c r="J45" s="73"/>
    </row>
    <row r="46" spans="4:10" ht="15">
      <c r="D46" s="32" t="s">
        <v>209</v>
      </c>
      <c r="E46" s="88">
        <v>2000</v>
      </c>
      <c r="G46" s="19" t="s">
        <v>210</v>
      </c>
      <c r="J46" s="73"/>
    </row>
    <row r="47" spans="4:10" ht="15">
      <c r="D47" s="33" t="s">
        <v>209</v>
      </c>
      <c r="E47" s="96">
        <f>Assumptions!G5</f>
        <v>100</v>
      </c>
      <c r="F47" s="74"/>
      <c r="G47" s="24" t="s">
        <v>219</v>
      </c>
      <c r="H47" s="97"/>
      <c r="J47" s="73"/>
    </row>
    <row r="48" spans="4:10" ht="15">
      <c r="D48" s="32" t="s">
        <v>211</v>
      </c>
      <c r="E48" s="19">
        <f>ROUND((E42*E43*E44*E45)/E46/E47,2)</f>
        <v>17.64</v>
      </c>
      <c r="G48" s="19" t="s">
        <v>212</v>
      </c>
      <c r="J48" s="73"/>
    </row>
    <row r="50" ht="15">
      <c r="C50" s="19" t="s">
        <v>55</v>
      </c>
    </row>
    <row r="51" spans="5:10" ht="15">
      <c r="E51" s="88">
        <f>Assumptions!G9</f>
        <v>10</v>
      </c>
      <c r="G51" s="19" t="s">
        <v>221</v>
      </c>
      <c r="J51" s="73"/>
    </row>
    <row r="52" spans="4:10" ht="15">
      <c r="D52" s="32" t="s">
        <v>208</v>
      </c>
      <c r="E52" s="88">
        <f>Assumptions!H39</f>
        <v>240</v>
      </c>
      <c r="G52" s="19" t="s">
        <v>207</v>
      </c>
      <c r="J52" s="73"/>
    </row>
    <row r="53" spans="4:10" ht="15">
      <c r="D53" s="32" t="s">
        <v>208</v>
      </c>
      <c r="E53" s="62">
        <f>Assumptions!F51</f>
        <v>15</v>
      </c>
      <c r="G53" s="19" t="s">
        <v>217</v>
      </c>
      <c r="J53" s="73"/>
    </row>
    <row r="54" spans="4:10" ht="15">
      <c r="D54" s="32" t="s">
        <v>208</v>
      </c>
      <c r="E54" s="19">
        <f>Assumptions!F68</f>
        <v>60</v>
      </c>
      <c r="G54" s="19" t="s">
        <v>215</v>
      </c>
      <c r="J54" s="73"/>
    </row>
    <row r="55" spans="4:10" ht="15">
      <c r="D55" s="32" t="s">
        <v>209</v>
      </c>
      <c r="E55" s="88">
        <v>2000</v>
      </c>
      <c r="G55" s="19" t="s">
        <v>210</v>
      </c>
      <c r="J55" s="73"/>
    </row>
    <row r="56" spans="4:10" ht="15">
      <c r="D56" s="33" t="s">
        <v>209</v>
      </c>
      <c r="E56" s="96">
        <f>Assumptions!G5</f>
        <v>100</v>
      </c>
      <c r="F56" s="74"/>
      <c r="G56" s="24" t="s">
        <v>219</v>
      </c>
      <c r="H56" s="74"/>
      <c r="J56" s="73"/>
    </row>
    <row r="57" spans="4:10" ht="15">
      <c r="D57" s="32" t="s">
        <v>211</v>
      </c>
      <c r="E57" s="19">
        <f>ROUND((E51*E52*E53*E54)/E55/E56,2)</f>
        <v>10.8</v>
      </c>
      <c r="G57" s="19" t="s">
        <v>212</v>
      </c>
      <c r="J57" s="73"/>
    </row>
    <row r="59" spans="3:10" ht="15.75">
      <c r="C59" s="16" t="s">
        <v>222</v>
      </c>
      <c r="D59" s="98" t="s">
        <v>211</v>
      </c>
      <c r="E59" s="16">
        <f>ROUND(E30+E39+E48+E57,2)</f>
        <v>165.69</v>
      </c>
      <c r="G59" s="16" t="s">
        <v>212</v>
      </c>
      <c r="J59" s="73"/>
    </row>
    <row r="61" ht="15.75">
      <c r="B61" s="16" t="s">
        <v>223</v>
      </c>
    </row>
    <row r="62" ht="15">
      <c r="C62" s="19" t="s">
        <v>101</v>
      </c>
    </row>
    <row r="63" spans="5:10" ht="15">
      <c r="E63" s="88">
        <f>Assumptions!H29</f>
        <v>165</v>
      </c>
      <c r="G63" s="19" t="s">
        <v>207</v>
      </c>
      <c r="J63" s="73"/>
    </row>
    <row r="64" spans="4:10" ht="15">
      <c r="D64" s="32" t="s">
        <v>208</v>
      </c>
      <c r="E64" s="62">
        <f>Assumptions!H46</f>
        <v>7</v>
      </c>
      <c r="G64" s="19" t="s">
        <v>224</v>
      </c>
      <c r="J64" s="73"/>
    </row>
    <row r="65" spans="4:10" ht="15">
      <c r="D65" s="32" t="s">
        <v>208</v>
      </c>
      <c r="E65" s="19">
        <f>Assumptions!F67</f>
        <v>105</v>
      </c>
      <c r="G65" s="19" t="s">
        <v>215</v>
      </c>
      <c r="J65" s="73"/>
    </row>
    <row r="66" spans="4:10" ht="15">
      <c r="D66" s="33" t="s">
        <v>209</v>
      </c>
      <c r="E66" s="96">
        <v>2000</v>
      </c>
      <c r="F66" s="74"/>
      <c r="G66" s="24" t="s">
        <v>210</v>
      </c>
      <c r="H66" s="19" t="s">
        <v>10</v>
      </c>
      <c r="J66" s="73"/>
    </row>
    <row r="67" spans="4:10" ht="15">
      <c r="D67" s="32" t="s">
        <v>211</v>
      </c>
      <c r="E67" s="19">
        <f>ROUND((E63*E64*E65)/E66,2)</f>
        <v>60.64</v>
      </c>
      <c r="G67" s="19" t="s">
        <v>212</v>
      </c>
      <c r="J67" s="73"/>
    </row>
    <row r="69" ht="15">
      <c r="C69" s="19" t="s">
        <v>49</v>
      </c>
    </row>
    <row r="70" spans="5:10" ht="15">
      <c r="E70" s="88">
        <f>Assumptions!G6</f>
        <v>7</v>
      </c>
      <c r="G70" s="19" t="s">
        <v>220</v>
      </c>
      <c r="J70" s="73"/>
    </row>
    <row r="71" spans="4:10" ht="15">
      <c r="D71" s="32" t="s">
        <v>208</v>
      </c>
      <c r="E71" s="88">
        <f>Assumptions!H36</f>
        <v>300</v>
      </c>
      <c r="G71" s="19" t="s">
        <v>207</v>
      </c>
      <c r="J71" s="73"/>
    </row>
    <row r="72" spans="4:10" ht="15">
      <c r="D72" s="32" t="s">
        <v>208</v>
      </c>
      <c r="E72" s="62">
        <f>Assumptions!H50</f>
        <v>2</v>
      </c>
      <c r="G72" s="19" t="s">
        <v>224</v>
      </c>
      <c r="J72" s="73"/>
    </row>
    <row r="73" spans="4:10" ht="15">
      <c r="D73" s="32" t="s">
        <v>208</v>
      </c>
      <c r="E73" s="19">
        <f>Assumptions!F67</f>
        <v>105</v>
      </c>
      <c r="G73" s="19" t="s">
        <v>215</v>
      </c>
      <c r="J73" s="73"/>
    </row>
    <row r="74" spans="4:10" ht="15">
      <c r="D74" s="32" t="s">
        <v>209</v>
      </c>
      <c r="E74" s="88">
        <v>2000</v>
      </c>
      <c r="G74" s="19" t="s">
        <v>210</v>
      </c>
      <c r="J74" s="73"/>
    </row>
    <row r="75" spans="4:10" ht="15">
      <c r="D75" s="33" t="s">
        <v>209</v>
      </c>
      <c r="E75" s="96">
        <f>Assumptions!G5</f>
        <v>100</v>
      </c>
      <c r="F75" s="74"/>
      <c r="G75" s="24" t="s">
        <v>219</v>
      </c>
      <c r="H75" s="97"/>
      <c r="J75" s="73"/>
    </row>
    <row r="76" spans="4:10" ht="15">
      <c r="D76" s="32" t="s">
        <v>211</v>
      </c>
      <c r="E76" s="19">
        <f>ROUND((E70*E71*E72*E73)/E74/E75,2)</f>
        <v>2.21</v>
      </c>
      <c r="G76" s="19" t="s">
        <v>212</v>
      </c>
      <c r="J76" s="73"/>
    </row>
    <row r="78" ht="15">
      <c r="C78" s="19" t="s">
        <v>55</v>
      </c>
    </row>
    <row r="79" spans="5:10" ht="15">
      <c r="E79" s="88">
        <f>Assumptions!G9</f>
        <v>10</v>
      </c>
      <c r="G79" s="19" t="s">
        <v>221</v>
      </c>
      <c r="J79" s="73"/>
    </row>
    <row r="80" spans="4:10" ht="15">
      <c r="D80" s="32" t="s">
        <v>208</v>
      </c>
      <c r="E80" s="88">
        <f>Assumptions!H39</f>
        <v>240</v>
      </c>
      <c r="G80" s="19" t="s">
        <v>207</v>
      </c>
      <c r="J80" s="73"/>
    </row>
    <row r="81" spans="4:10" ht="15">
      <c r="D81" s="32" t="s">
        <v>208</v>
      </c>
      <c r="E81" s="62">
        <f>Assumptions!H51</f>
        <v>3</v>
      </c>
      <c r="G81" s="19" t="s">
        <v>224</v>
      </c>
      <c r="J81" s="73"/>
    </row>
    <row r="82" spans="4:10" ht="15">
      <c r="D82" s="32" t="s">
        <v>208</v>
      </c>
      <c r="E82" s="19">
        <f>Assumptions!F67</f>
        <v>105</v>
      </c>
      <c r="G82" s="19" t="s">
        <v>215</v>
      </c>
      <c r="H82" s="77" t="s">
        <v>10</v>
      </c>
      <c r="J82" s="73"/>
    </row>
    <row r="83" spans="4:10" ht="15">
      <c r="D83" s="32" t="s">
        <v>209</v>
      </c>
      <c r="E83" s="88">
        <v>2000</v>
      </c>
      <c r="G83" s="19" t="s">
        <v>210</v>
      </c>
      <c r="J83" s="73"/>
    </row>
    <row r="84" spans="4:10" ht="15">
      <c r="D84" s="33" t="s">
        <v>209</v>
      </c>
      <c r="E84" s="96">
        <f>Assumptions!G5</f>
        <v>100</v>
      </c>
      <c r="F84" s="74"/>
      <c r="G84" s="24" t="s">
        <v>219</v>
      </c>
      <c r="H84" s="97"/>
      <c r="J84" s="73"/>
    </row>
    <row r="85" spans="4:10" ht="15">
      <c r="D85" s="32" t="s">
        <v>211</v>
      </c>
      <c r="E85" s="19">
        <f>ROUND((E79*E80*E81*E82)/E83/E84,2)</f>
        <v>3.78</v>
      </c>
      <c r="G85" s="19" t="s">
        <v>212</v>
      </c>
      <c r="J85" s="73"/>
    </row>
    <row r="87" spans="3:10" ht="15.75">
      <c r="C87" s="16" t="s">
        <v>222</v>
      </c>
      <c r="D87" s="98" t="s">
        <v>211</v>
      </c>
      <c r="E87" s="16">
        <f>ROUND(E67+E76+E85,2)</f>
        <v>66.63</v>
      </c>
      <c r="G87" s="16" t="s">
        <v>212</v>
      </c>
      <c r="J87" s="73"/>
    </row>
    <row r="89" ht="15.75">
      <c r="B89" s="16" t="s">
        <v>225</v>
      </c>
    </row>
    <row r="90" ht="15">
      <c r="C90" s="19" t="s">
        <v>101</v>
      </c>
    </row>
    <row r="91" spans="5:10" ht="15">
      <c r="E91" s="88">
        <f>Assumptions!H29+Assumptions!H30</f>
        <v>240</v>
      </c>
      <c r="G91" s="19" t="s">
        <v>207</v>
      </c>
      <c r="J91" s="73"/>
    </row>
    <row r="92" spans="4:10" ht="15">
      <c r="D92" s="32" t="s">
        <v>208</v>
      </c>
      <c r="E92" s="62">
        <f>((Assumptions!H29*Assumptions!I46)+(Assumptions!H30*Assumptions!I48))/(Assumptions!H29+Assumptions!H30)</f>
        <v>0.2</v>
      </c>
      <c r="G92" s="19" t="s">
        <v>226</v>
      </c>
      <c r="J92" s="73"/>
    </row>
    <row r="93" spans="4:10" ht="15">
      <c r="D93" s="32" t="s">
        <v>208</v>
      </c>
      <c r="E93" s="19">
        <f>Assumptions!F70</f>
        <v>22.55</v>
      </c>
      <c r="G93" s="19" t="s">
        <v>227</v>
      </c>
      <c r="J93" s="73"/>
    </row>
    <row r="94" spans="4:10" ht="15">
      <c r="D94" s="33" t="s">
        <v>209</v>
      </c>
      <c r="E94" s="96">
        <v>55</v>
      </c>
      <c r="F94" s="74"/>
      <c r="G94" s="24" t="s">
        <v>228</v>
      </c>
      <c r="H94" s="19" t="s">
        <v>10</v>
      </c>
      <c r="J94" s="73"/>
    </row>
    <row r="95" spans="4:10" ht="15">
      <c r="D95" s="32" t="s">
        <v>211</v>
      </c>
      <c r="E95" s="19">
        <f>ROUND((E91*E92*E93)/E94,2)</f>
        <v>19.68</v>
      </c>
      <c r="G95" s="19" t="s">
        <v>212</v>
      </c>
      <c r="J95" s="73"/>
    </row>
    <row r="97" ht="15">
      <c r="C97" s="19" t="s">
        <v>374</v>
      </c>
    </row>
    <row r="98" spans="5:10" ht="15">
      <c r="E98" s="88">
        <f>Assumptions!G7+Assumptions!G8</f>
        <v>30</v>
      </c>
      <c r="G98" s="19" t="s">
        <v>218</v>
      </c>
      <c r="J98" s="73"/>
    </row>
    <row r="99" spans="4:10" ht="15">
      <c r="D99" s="32" t="s">
        <v>208</v>
      </c>
      <c r="E99" s="88">
        <f>Assumptions!H33</f>
        <v>240</v>
      </c>
      <c r="G99" s="19" t="s">
        <v>207</v>
      </c>
      <c r="J99" s="73"/>
    </row>
    <row r="100" spans="4:10" ht="15">
      <c r="D100" s="32" t="s">
        <v>208</v>
      </c>
      <c r="E100" s="62">
        <f>Assumptions!I49</f>
        <v>0.2</v>
      </c>
      <c r="G100" s="19" t="s">
        <v>226</v>
      </c>
      <c r="J100" s="73"/>
    </row>
    <row r="101" spans="4:10" ht="15">
      <c r="D101" s="32" t="s">
        <v>208</v>
      </c>
      <c r="E101" s="19">
        <f>Assumptions!F70</f>
        <v>22.55</v>
      </c>
      <c r="G101" s="19" t="s">
        <v>227</v>
      </c>
      <c r="J101" s="73"/>
    </row>
    <row r="102" spans="4:10" ht="15">
      <c r="D102" s="32" t="s">
        <v>209</v>
      </c>
      <c r="E102" s="88">
        <v>55</v>
      </c>
      <c r="G102" s="19" t="s">
        <v>228</v>
      </c>
      <c r="J102" s="73"/>
    </row>
    <row r="103" spans="4:10" ht="15">
      <c r="D103" s="33" t="s">
        <v>209</v>
      </c>
      <c r="E103" s="96">
        <f>Assumptions!G5</f>
        <v>100</v>
      </c>
      <c r="F103" s="74"/>
      <c r="G103" s="24" t="s">
        <v>219</v>
      </c>
      <c r="H103" s="74"/>
      <c r="J103" s="73"/>
    </row>
    <row r="104" spans="4:10" ht="15">
      <c r="D104" s="32" t="s">
        <v>211</v>
      </c>
      <c r="E104" s="19">
        <f>ROUND((E98*E99*E100*E101)/E102/E103,2)</f>
        <v>5.9</v>
      </c>
      <c r="G104" s="19" t="s">
        <v>212</v>
      </c>
      <c r="J104" s="73"/>
    </row>
    <row r="106" ht="15">
      <c r="C106" s="19" t="s">
        <v>49</v>
      </c>
    </row>
    <row r="107" spans="5:10" ht="15">
      <c r="E107" s="88">
        <f>Assumptions!G6</f>
        <v>7</v>
      </c>
      <c r="G107" s="19" t="s">
        <v>220</v>
      </c>
      <c r="J107" s="73"/>
    </row>
    <row r="108" spans="4:10" ht="15">
      <c r="D108" s="32" t="s">
        <v>208</v>
      </c>
      <c r="E108" s="88">
        <f>Assumptions!H36</f>
        <v>300</v>
      </c>
      <c r="G108" s="19" t="s">
        <v>207</v>
      </c>
      <c r="J108" s="73"/>
    </row>
    <row r="109" spans="4:10" ht="15">
      <c r="D109" s="32" t="s">
        <v>208</v>
      </c>
      <c r="E109" s="62">
        <f>Assumptions!I50</f>
        <v>0.2</v>
      </c>
      <c r="G109" s="19" t="s">
        <v>226</v>
      </c>
      <c r="J109" s="73"/>
    </row>
    <row r="110" spans="4:10" ht="15">
      <c r="D110" s="32" t="s">
        <v>208</v>
      </c>
      <c r="E110" s="19">
        <f>Assumptions!F70</f>
        <v>22.55</v>
      </c>
      <c r="G110" s="19" t="s">
        <v>227</v>
      </c>
      <c r="J110" s="73"/>
    </row>
    <row r="111" spans="4:10" ht="15">
      <c r="D111" s="32" t="s">
        <v>209</v>
      </c>
      <c r="E111" s="88">
        <v>55</v>
      </c>
      <c r="G111" s="19" t="s">
        <v>228</v>
      </c>
      <c r="J111" s="73"/>
    </row>
    <row r="112" spans="4:10" ht="15">
      <c r="D112" s="33" t="s">
        <v>209</v>
      </c>
      <c r="E112" s="96">
        <f>Assumptions!G5</f>
        <v>100</v>
      </c>
      <c r="F112" s="74"/>
      <c r="G112" s="24" t="s">
        <v>219</v>
      </c>
      <c r="H112" s="97"/>
      <c r="J112" s="73"/>
    </row>
    <row r="113" spans="4:10" ht="15">
      <c r="D113" s="32" t="s">
        <v>211</v>
      </c>
      <c r="E113" s="19">
        <f>ROUND((E107*E108*E109*E110)/E111/E112,2)</f>
        <v>1.72</v>
      </c>
      <c r="G113" s="19" t="s">
        <v>212</v>
      </c>
      <c r="J113" s="73"/>
    </row>
    <row r="115" ht="15">
      <c r="C115" s="19" t="s">
        <v>55</v>
      </c>
    </row>
    <row r="116" spans="5:10" ht="15">
      <c r="E116" s="88">
        <f>Assumptions!G9</f>
        <v>10</v>
      </c>
      <c r="G116" s="19" t="s">
        <v>221</v>
      </c>
      <c r="J116" s="73"/>
    </row>
    <row r="117" spans="4:10" ht="15">
      <c r="D117" s="32" t="s">
        <v>208</v>
      </c>
      <c r="E117" s="88">
        <f>Assumptions!H39</f>
        <v>240</v>
      </c>
      <c r="G117" s="19" t="s">
        <v>207</v>
      </c>
      <c r="J117" s="73"/>
    </row>
    <row r="118" spans="4:10" ht="15">
      <c r="D118" s="32" t="s">
        <v>208</v>
      </c>
      <c r="E118" s="62">
        <f>Assumptions!I51</f>
        <v>0.1</v>
      </c>
      <c r="G118" s="19" t="s">
        <v>226</v>
      </c>
      <c r="J118" s="73"/>
    </row>
    <row r="119" spans="4:10" ht="15">
      <c r="D119" s="32" t="s">
        <v>208</v>
      </c>
      <c r="E119" s="19">
        <f>Assumptions!F70</f>
        <v>22.55</v>
      </c>
      <c r="G119" s="19" t="s">
        <v>215</v>
      </c>
      <c r="H119" s="77" t="s">
        <v>10</v>
      </c>
      <c r="J119" s="73"/>
    </row>
    <row r="120" spans="4:10" ht="15">
      <c r="D120" s="32" t="s">
        <v>209</v>
      </c>
      <c r="E120" s="88">
        <v>55</v>
      </c>
      <c r="G120" s="19" t="s">
        <v>210</v>
      </c>
      <c r="J120" s="73"/>
    </row>
    <row r="121" spans="4:10" ht="15">
      <c r="D121" s="33" t="s">
        <v>209</v>
      </c>
      <c r="E121" s="96">
        <f>Assumptions!G5</f>
        <v>100</v>
      </c>
      <c r="F121" s="74"/>
      <c r="G121" s="24" t="s">
        <v>219</v>
      </c>
      <c r="H121" s="97"/>
      <c r="J121" s="73"/>
    </row>
    <row r="122" spans="4:10" ht="15">
      <c r="D122" s="32" t="s">
        <v>211</v>
      </c>
      <c r="E122" s="19">
        <f>ROUND((E116*E117*E118*E119)/E120/E121,2)</f>
        <v>0.98</v>
      </c>
      <c r="G122" s="19" t="s">
        <v>212</v>
      </c>
      <c r="J122" s="73"/>
    </row>
    <row r="124" spans="3:10" ht="15.75">
      <c r="C124" s="16" t="s">
        <v>222</v>
      </c>
      <c r="D124" s="98" t="s">
        <v>211</v>
      </c>
      <c r="E124" s="16">
        <f>ROUND(E95+E104+E113+E122,2)</f>
        <v>28.28</v>
      </c>
      <c r="G124" s="16" t="s">
        <v>212</v>
      </c>
      <c r="J124" s="73"/>
    </row>
    <row r="126" ht="15.75">
      <c r="B126" s="16" t="s">
        <v>229</v>
      </c>
    </row>
    <row r="127" spans="2:11" ht="15.75">
      <c r="B127" s="16" t="s">
        <v>230</v>
      </c>
      <c r="C127" s="75"/>
      <c r="D127" s="75"/>
      <c r="E127" s="75"/>
      <c r="F127" s="75"/>
      <c r="G127" s="75"/>
      <c r="H127" s="75"/>
      <c r="K127" s="75"/>
    </row>
    <row r="128" spans="2:11" ht="15">
      <c r="B128" s="75"/>
      <c r="C128" s="75"/>
      <c r="D128" s="75"/>
      <c r="E128" s="99">
        <f>'Other Costs'!F5</f>
        <v>1.75</v>
      </c>
      <c r="F128" s="75"/>
      <c r="G128" s="75" t="s">
        <v>142</v>
      </c>
      <c r="H128" s="75"/>
      <c r="J128" s="73"/>
      <c r="K128" s="75"/>
    </row>
    <row r="129" spans="2:11" ht="15">
      <c r="B129" s="75"/>
      <c r="C129" s="75"/>
      <c r="D129" s="33" t="s">
        <v>208</v>
      </c>
      <c r="E129" s="100">
        <f>Assumptions!F71</f>
        <v>25</v>
      </c>
      <c r="F129" s="100"/>
      <c r="G129" s="100" t="s">
        <v>143</v>
      </c>
      <c r="H129" s="101"/>
      <c r="J129" s="73"/>
      <c r="K129" s="75"/>
    </row>
    <row r="130" spans="2:11" ht="15.75">
      <c r="B130" s="75"/>
      <c r="C130" s="75"/>
      <c r="D130" s="31" t="s">
        <v>211</v>
      </c>
      <c r="E130" s="102">
        <f>ROUND(E128*E129,2)</f>
        <v>43.75</v>
      </c>
      <c r="F130" s="75"/>
      <c r="G130" s="16" t="s">
        <v>212</v>
      </c>
      <c r="H130" s="75"/>
      <c r="J130" s="73"/>
      <c r="K130" s="75"/>
    </row>
    <row r="131" spans="2:11" ht="15">
      <c r="B131" s="75"/>
      <c r="C131" s="75"/>
      <c r="D131" s="75"/>
      <c r="E131" s="75"/>
      <c r="F131" s="75"/>
      <c r="G131" s="15"/>
      <c r="H131" s="75"/>
      <c r="K131" s="75"/>
    </row>
    <row r="132" ht="15.75">
      <c r="B132" s="16" t="s">
        <v>231</v>
      </c>
    </row>
    <row r="133" ht="15">
      <c r="C133" s="19" t="s">
        <v>375</v>
      </c>
    </row>
    <row r="134" spans="5:10" ht="15">
      <c r="E134" s="88">
        <f>'Other Costs'!F11*Assumptions!G5</f>
        <v>200</v>
      </c>
      <c r="G134" s="19" t="s">
        <v>232</v>
      </c>
      <c r="J134" s="73"/>
    </row>
    <row r="135" spans="4:10" ht="15">
      <c r="D135" s="32" t="s">
        <v>233</v>
      </c>
      <c r="E135" s="88">
        <f>'Other Costs'!F12*Assumptions!G7</f>
        <v>20</v>
      </c>
      <c r="G135" s="19" t="s">
        <v>234</v>
      </c>
      <c r="J135" s="73"/>
    </row>
    <row r="136" spans="4:10" ht="15">
      <c r="D136" s="32" t="s">
        <v>233</v>
      </c>
      <c r="E136" s="88">
        <f>'Other Costs'!F13*Assumptions!G6</f>
        <v>14</v>
      </c>
      <c r="G136" s="19" t="s">
        <v>235</v>
      </c>
      <c r="J136" s="73"/>
    </row>
    <row r="137" spans="4:10" ht="15">
      <c r="D137" s="33" t="s">
        <v>233</v>
      </c>
      <c r="E137" s="103">
        <f>'Other Costs'!F14*(Assumptions!G8+Assumptions!G9)</f>
        <v>60</v>
      </c>
      <c r="F137" s="78"/>
      <c r="G137" s="24" t="s">
        <v>236</v>
      </c>
      <c r="J137" s="73"/>
    </row>
    <row r="138" spans="4:10" ht="15">
      <c r="D138" s="32" t="s">
        <v>211</v>
      </c>
      <c r="E138" s="88">
        <f>SUM(E134:E137)</f>
        <v>294</v>
      </c>
      <c r="G138" s="19" t="s">
        <v>237</v>
      </c>
      <c r="J138" s="73"/>
    </row>
    <row r="139" spans="4:10" ht="15">
      <c r="D139" s="32" t="s">
        <v>208</v>
      </c>
      <c r="E139" s="19">
        <f>'Other Costs'!F9</f>
        <v>10</v>
      </c>
      <c r="G139" s="19" t="s">
        <v>238</v>
      </c>
      <c r="J139" s="73"/>
    </row>
    <row r="140" spans="4:10" ht="15">
      <c r="D140" s="33" t="s">
        <v>209</v>
      </c>
      <c r="E140" s="96">
        <f>Assumptions!G5</f>
        <v>100</v>
      </c>
      <c r="F140" s="74"/>
      <c r="G140" s="24" t="s">
        <v>219</v>
      </c>
      <c r="H140" s="97"/>
      <c r="J140" s="73"/>
    </row>
    <row r="141" spans="4:10" ht="15">
      <c r="D141" s="32" t="s">
        <v>211</v>
      </c>
      <c r="E141" s="19">
        <f>ROUND(E138*E139/E140,2)</f>
        <v>29.4</v>
      </c>
      <c r="G141" s="19" t="s">
        <v>212</v>
      </c>
      <c r="J141" s="73"/>
    </row>
    <row r="143" ht="15">
      <c r="C143" s="19" t="s">
        <v>371</v>
      </c>
    </row>
    <row r="144" spans="5:10" ht="15">
      <c r="E144" s="60">
        <f>'Other Costs'!F17</f>
        <v>50</v>
      </c>
      <c r="G144" s="19" t="s">
        <v>238</v>
      </c>
      <c r="J144" s="73"/>
    </row>
    <row r="145" spans="4:10" ht="15">
      <c r="D145" s="104" t="s">
        <v>208</v>
      </c>
      <c r="E145" s="105">
        <f>(Assumptions!G5+Assumptions!G6+Assumptions!G7+Assumptions!G8+Assumptions!G9)*'Other Costs'!F18/100</f>
        <v>22.05</v>
      </c>
      <c r="G145" s="60" t="s">
        <v>370</v>
      </c>
      <c r="J145" s="73"/>
    </row>
    <row r="146" spans="4:10" ht="15">
      <c r="D146" s="33" t="s">
        <v>209</v>
      </c>
      <c r="E146" s="106">
        <f>Assumptions!G5</f>
        <v>100</v>
      </c>
      <c r="G146" s="24" t="s">
        <v>219</v>
      </c>
      <c r="J146" s="73"/>
    </row>
    <row r="147" spans="4:10" ht="15">
      <c r="D147" s="32" t="s">
        <v>211</v>
      </c>
      <c r="E147" s="60">
        <f>(E144*E145)/E146</f>
        <v>11.025</v>
      </c>
      <c r="G147" s="19" t="s">
        <v>212</v>
      </c>
      <c r="J147" s="73"/>
    </row>
    <row r="149" ht="15">
      <c r="C149" s="19" t="s">
        <v>376</v>
      </c>
    </row>
    <row r="150" spans="5:10" ht="15">
      <c r="E150" s="88">
        <f>'Other Costs'!F23*(Assumptions!G5+Assumptions!G7)</f>
        <v>120</v>
      </c>
      <c r="G150" s="19" t="s">
        <v>239</v>
      </c>
      <c r="J150" s="73"/>
    </row>
    <row r="151" spans="4:10" ht="15">
      <c r="D151" s="32" t="s">
        <v>233</v>
      </c>
      <c r="E151" s="88">
        <f>'Other Costs'!F24*(Assumptions!G8+Assumptions!G9)</f>
        <v>20</v>
      </c>
      <c r="G151" s="19" t="s">
        <v>236</v>
      </c>
      <c r="J151" s="73"/>
    </row>
    <row r="152" spans="4:10" ht="15">
      <c r="D152" s="32" t="s">
        <v>211</v>
      </c>
      <c r="E152" s="88">
        <f>SUM(E149:E151)</f>
        <v>140</v>
      </c>
      <c r="G152" s="19" t="s">
        <v>237</v>
      </c>
      <c r="J152" s="73"/>
    </row>
    <row r="153" spans="4:10" ht="15">
      <c r="D153" s="32" t="s">
        <v>208</v>
      </c>
      <c r="E153" s="19">
        <f>'Other Costs'!F21</f>
        <v>3</v>
      </c>
      <c r="G153" s="19" t="s">
        <v>238</v>
      </c>
      <c r="J153" s="73"/>
    </row>
    <row r="154" spans="4:10" ht="15">
      <c r="D154" s="33" t="s">
        <v>209</v>
      </c>
      <c r="E154" s="96">
        <f>Assumptions!G5</f>
        <v>100</v>
      </c>
      <c r="F154" s="74"/>
      <c r="G154" s="24" t="s">
        <v>219</v>
      </c>
      <c r="H154" s="97"/>
      <c r="J154" s="73"/>
    </row>
    <row r="155" spans="4:10" ht="15">
      <c r="D155" s="32" t="s">
        <v>211</v>
      </c>
      <c r="E155" s="19">
        <f>ROUND(E152*E153/E154,2)</f>
        <v>4.2</v>
      </c>
      <c r="G155" s="19" t="s">
        <v>212</v>
      </c>
      <c r="J155" s="73"/>
    </row>
    <row r="157" ht="15">
      <c r="C157" s="19" t="s">
        <v>377</v>
      </c>
    </row>
    <row r="158" spans="5:10" ht="15">
      <c r="E158" s="88">
        <f>'Other Costs'!F29*(Assumptions!G5+Assumptions!G7)</f>
        <v>240</v>
      </c>
      <c r="G158" s="19" t="s">
        <v>239</v>
      </c>
      <c r="J158" s="73"/>
    </row>
    <row r="159" spans="4:10" ht="15">
      <c r="D159" s="32" t="s">
        <v>208</v>
      </c>
      <c r="E159" s="19">
        <f>'Other Costs'!F27</f>
        <v>13</v>
      </c>
      <c r="G159" s="19" t="s">
        <v>238</v>
      </c>
      <c r="J159" s="73"/>
    </row>
    <row r="160" spans="4:10" ht="15">
      <c r="D160" s="33" t="s">
        <v>209</v>
      </c>
      <c r="E160" s="96">
        <f>Assumptions!G5</f>
        <v>100</v>
      </c>
      <c r="F160" s="74"/>
      <c r="G160" s="24" t="s">
        <v>219</v>
      </c>
      <c r="H160" s="97"/>
      <c r="J160" s="73"/>
    </row>
    <row r="161" spans="4:10" ht="15">
      <c r="D161" s="32" t="s">
        <v>211</v>
      </c>
      <c r="E161" s="19">
        <f>ROUND(E158*E159/E160,2)</f>
        <v>31.2</v>
      </c>
      <c r="G161" s="19" t="s">
        <v>212</v>
      </c>
      <c r="J161" s="73"/>
    </row>
    <row r="163" ht="15">
      <c r="C163" s="19" t="s">
        <v>379</v>
      </c>
    </row>
    <row r="164" spans="5:10" ht="15">
      <c r="E164" s="19">
        <f>'Other Costs'!F32</f>
        <v>3.5</v>
      </c>
      <c r="G164" s="19" t="s">
        <v>240</v>
      </c>
      <c r="J164" s="73"/>
    </row>
    <row r="165" spans="4:10" ht="15">
      <c r="D165" s="32" t="s">
        <v>208</v>
      </c>
      <c r="E165" s="88">
        <f>Assumptions!G5+Assumptions!G7</f>
        <v>120</v>
      </c>
      <c r="G165" s="19" t="s">
        <v>241</v>
      </c>
      <c r="J165" s="73"/>
    </row>
    <row r="166" spans="2:11" ht="15">
      <c r="B166" s="75"/>
      <c r="C166" s="75"/>
      <c r="D166" s="33" t="s">
        <v>209</v>
      </c>
      <c r="E166" s="96">
        <f>Assumptions!$G$5</f>
        <v>100</v>
      </c>
      <c r="F166" s="101"/>
      <c r="G166" s="24" t="s">
        <v>219</v>
      </c>
      <c r="H166" s="101"/>
      <c r="J166" s="73"/>
      <c r="K166" s="75"/>
    </row>
    <row r="167" spans="2:11" ht="15">
      <c r="B167" s="75"/>
      <c r="C167" s="75"/>
      <c r="D167" s="32" t="s">
        <v>211</v>
      </c>
      <c r="E167" s="75">
        <f>ROUND((E164*E165)/E166,2)</f>
        <v>4.2</v>
      </c>
      <c r="F167" s="75"/>
      <c r="G167" s="19" t="s">
        <v>212</v>
      </c>
      <c r="H167" s="75"/>
      <c r="J167" s="73"/>
      <c r="K167" s="75"/>
    </row>
    <row r="168" spans="2:11" ht="15">
      <c r="B168" s="75"/>
      <c r="C168" s="75" t="s">
        <v>380</v>
      </c>
      <c r="D168" s="15"/>
      <c r="E168" s="107"/>
      <c r="F168" s="75"/>
      <c r="G168" s="15"/>
      <c r="H168" s="75"/>
      <c r="K168" s="75"/>
    </row>
    <row r="169" spans="5:10" ht="15">
      <c r="E169" s="19">
        <f>'Other Costs'!F33</f>
        <v>77</v>
      </c>
      <c r="G169" s="19" t="s">
        <v>242</v>
      </c>
      <c r="J169" s="73"/>
    </row>
    <row r="170" spans="4:10" ht="15">
      <c r="D170" s="32" t="s">
        <v>208</v>
      </c>
      <c r="E170" s="19">
        <f>Assumptions!G6</f>
        <v>7</v>
      </c>
      <c r="G170" s="19" t="s">
        <v>243</v>
      </c>
      <c r="J170" s="73"/>
    </row>
    <row r="171" spans="4:10" ht="15">
      <c r="D171" s="33" t="s">
        <v>209</v>
      </c>
      <c r="E171" s="96">
        <f>Assumptions!$G$5</f>
        <v>100</v>
      </c>
      <c r="F171" s="97"/>
      <c r="G171" s="24" t="s">
        <v>219</v>
      </c>
      <c r="H171" s="97"/>
      <c r="J171" s="73"/>
    </row>
    <row r="172" spans="4:10" ht="15">
      <c r="D172" s="32" t="s">
        <v>211</v>
      </c>
      <c r="E172" s="19">
        <f>ROUND((E169*E170)/E171,2)</f>
        <v>5.39</v>
      </c>
      <c r="G172" s="19" t="s">
        <v>212</v>
      </c>
      <c r="J172" s="73"/>
    </row>
    <row r="173" spans="2:11" ht="15">
      <c r="B173" s="75"/>
      <c r="C173" s="75"/>
      <c r="D173" s="15"/>
      <c r="E173" s="15"/>
      <c r="F173" s="75"/>
      <c r="G173" s="15"/>
      <c r="H173" s="75"/>
      <c r="K173" s="75"/>
    </row>
    <row r="174" ht="15">
      <c r="C174" s="19" t="s">
        <v>378</v>
      </c>
    </row>
    <row r="175" ht="15">
      <c r="C175" s="19" t="s">
        <v>245</v>
      </c>
    </row>
    <row r="176" spans="5:10" ht="15">
      <c r="E176" s="19">
        <f>'Other Costs'!F38</f>
        <v>100</v>
      </c>
      <c r="G176" s="19" t="s">
        <v>246</v>
      </c>
      <c r="J176" s="73"/>
    </row>
    <row r="177" spans="4:10" ht="15">
      <c r="D177" s="32" t="s">
        <v>208</v>
      </c>
      <c r="E177" s="62">
        <f>'Other Costs'!F37</f>
        <v>20</v>
      </c>
      <c r="G177" s="19" t="s">
        <v>247</v>
      </c>
      <c r="J177" s="73"/>
    </row>
    <row r="178" spans="4:10" ht="15">
      <c r="D178" s="33" t="s">
        <v>209</v>
      </c>
      <c r="E178" s="96">
        <f>Assumptions!G5</f>
        <v>100</v>
      </c>
      <c r="F178" s="97"/>
      <c r="G178" s="24" t="s">
        <v>219</v>
      </c>
      <c r="H178" s="97"/>
      <c r="J178" s="73"/>
    </row>
    <row r="179" spans="4:10" ht="15">
      <c r="D179" s="32" t="s">
        <v>211</v>
      </c>
      <c r="E179" s="19">
        <f>ROUND(E176*E177/E178,2)</f>
        <v>20</v>
      </c>
      <c r="G179" s="19" t="s">
        <v>212</v>
      </c>
      <c r="J179" s="73"/>
    </row>
    <row r="181" ht="15">
      <c r="C181" s="19" t="s">
        <v>248</v>
      </c>
    </row>
    <row r="182" spans="5:10" ht="15">
      <c r="E182" s="19">
        <f>'Other Costs'!F42</f>
        <v>0.9</v>
      </c>
      <c r="G182" s="19" t="s">
        <v>249</v>
      </c>
      <c r="J182" s="73"/>
    </row>
    <row r="183" spans="4:10" ht="15">
      <c r="D183" s="32" t="s">
        <v>208</v>
      </c>
      <c r="E183" s="77">
        <f>'Other Costs'!F41</f>
        <v>100</v>
      </c>
      <c r="G183" s="19" t="s">
        <v>250</v>
      </c>
      <c r="J183" s="73"/>
    </row>
    <row r="184" spans="4:10" ht="15">
      <c r="D184" s="32" t="s">
        <v>208</v>
      </c>
      <c r="E184" s="77">
        <f>'Other Costs'!F43</f>
        <v>5</v>
      </c>
      <c r="G184" s="19" t="s">
        <v>251</v>
      </c>
      <c r="J184" s="73"/>
    </row>
    <row r="185" spans="4:10" ht="15">
      <c r="D185" s="33" t="s">
        <v>209</v>
      </c>
      <c r="E185" s="96">
        <f>Assumptions!G5</f>
        <v>100</v>
      </c>
      <c r="F185" s="97"/>
      <c r="G185" s="24" t="s">
        <v>219</v>
      </c>
      <c r="H185" s="97"/>
      <c r="J185" s="73"/>
    </row>
    <row r="186" spans="4:10" ht="15">
      <c r="D186" s="32" t="s">
        <v>211</v>
      </c>
      <c r="E186" s="19">
        <f>ROUND(E182*E183*E184/E185,2)</f>
        <v>4.5</v>
      </c>
      <c r="G186" s="19" t="s">
        <v>212</v>
      </c>
      <c r="J186" s="73"/>
    </row>
    <row r="188" spans="3:10" ht="15.75">
      <c r="C188" s="16" t="s">
        <v>222</v>
      </c>
      <c r="D188" s="31" t="s">
        <v>211</v>
      </c>
      <c r="E188" s="16">
        <f>E141+E147+E155+E161+E167+E172+E179+E186</f>
        <v>109.915</v>
      </c>
      <c r="G188" s="16" t="s">
        <v>212</v>
      </c>
      <c r="J188" s="73"/>
    </row>
    <row r="191" ht="15.75">
      <c r="B191" s="16" t="s">
        <v>252</v>
      </c>
    </row>
    <row r="192" ht="15">
      <c r="C192" s="19" t="s">
        <v>381</v>
      </c>
    </row>
    <row r="193" spans="5:10" ht="15">
      <c r="E193" s="21">
        <f>'Capital Costs'!H13+'Capital Costs'!H21</f>
        <v>322140</v>
      </c>
      <c r="G193" s="19" t="s">
        <v>253</v>
      </c>
      <c r="J193" s="73"/>
    </row>
    <row r="194" spans="4:10" ht="15">
      <c r="D194" s="32" t="s">
        <v>208</v>
      </c>
      <c r="E194" s="19">
        <f>'Other Costs'!F47</f>
        <v>0.6</v>
      </c>
      <c r="G194" s="19" t="s">
        <v>254</v>
      </c>
      <c r="J194" s="73"/>
    </row>
    <row r="195" spans="4:10" ht="15">
      <c r="D195" s="32" t="s">
        <v>209</v>
      </c>
      <c r="E195" s="88">
        <v>100</v>
      </c>
      <c r="G195" s="19" t="s">
        <v>255</v>
      </c>
      <c r="J195" s="73"/>
    </row>
    <row r="196" spans="4:10" ht="15">
      <c r="D196" s="33" t="s">
        <v>209</v>
      </c>
      <c r="E196" s="96">
        <f>Assumptions!G5</f>
        <v>100</v>
      </c>
      <c r="F196" s="97"/>
      <c r="G196" s="24" t="s">
        <v>219</v>
      </c>
      <c r="H196" s="97"/>
      <c r="J196" s="73"/>
    </row>
    <row r="197" spans="4:10" ht="15">
      <c r="D197" s="32" t="s">
        <v>211</v>
      </c>
      <c r="E197" s="19">
        <f>ROUND(E193*E194/E195/E196,2)</f>
        <v>19.33</v>
      </c>
      <c r="G197" s="19" t="s">
        <v>212</v>
      </c>
      <c r="J197" s="73"/>
    </row>
    <row r="199" ht="15">
      <c r="C199" s="19" t="s">
        <v>382</v>
      </c>
    </row>
    <row r="200" spans="5:10" ht="15">
      <c r="E200" s="21">
        <f>'Capital Costs'!H31</f>
        <v>243500</v>
      </c>
      <c r="G200" s="19" t="s">
        <v>256</v>
      </c>
      <c r="J200" s="73"/>
    </row>
    <row r="201" spans="4:10" ht="15">
      <c r="D201" s="32" t="s">
        <v>208</v>
      </c>
      <c r="E201" s="19">
        <f>'Other Costs'!F46</f>
        <v>0.75</v>
      </c>
      <c r="G201" s="19" t="s">
        <v>254</v>
      </c>
      <c r="J201" s="73"/>
    </row>
    <row r="202" spans="4:10" ht="15">
      <c r="D202" s="32" t="s">
        <v>209</v>
      </c>
      <c r="E202" s="88">
        <v>100</v>
      </c>
      <c r="G202" s="19" t="s">
        <v>255</v>
      </c>
      <c r="J202" s="73"/>
    </row>
    <row r="203" spans="4:10" ht="15">
      <c r="D203" s="33" t="s">
        <v>209</v>
      </c>
      <c r="E203" s="96">
        <f>Assumptions!G5</f>
        <v>100</v>
      </c>
      <c r="F203" s="74"/>
      <c r="G203" s="24" t="s">
        <v>219</v>
      </c>
      <c r="H203" s="97"/>
      <c r="J203" s="73"/>
    </row>
    <row r="204" spans="4:10" ht="15">
      <c r="D204" s="32" t="s">
        <v>211</v>
      </c>
      <c r="E204" s="19">
        <f>ROUND(E200*E201/E202/E203,2)</f>
        <v>18.26</v>
      </c>
      <c r="G204" s="19" t="s">
        <v>212</v>
      </c>
      <c r="J204" s="73"/>
    </row>
    <row r="206" ht="15">
      <c r="C206" s="19" t="s">
        <v>383</v>
      </c>
    </row>
    <row r="207" spans="4:10" ht="15">
      <c r="D207" s="104"/>
      <c r="E207" s="19">
        <f>'Other Costs'!F48</f>
        <v>45</v>
      </c>
      <c r="G207" s="19" t="s">
        <v>257</v>
      </c>
      <c r="J207" s="73"/>
    </row>
    <row r="208" spans="4:10" ht="15">
      <c r="D208" s="33" t="s">
        <v>209</v>
      </c>
      <c r="E208" s="108">
        <f>Assumptions!G5</f>
        <v>100</v>
      </c>
      <c r="F208" s="74"/>
      <c r="G208" s="24" t="s">
        <v>219</v>
      </c>
      <c r="H208" s="97"/>
      <c r="J208" s="73"/>
    </row>
    <row r="209" spans="4:10" ht="15">
      <c r="D209" s="32" t="s">
        <v>211</v>
      </c>
      <c r="E209" s="19">
        <f>ROUND(E207/E208,2)</f>
        <v>0.45</v>
      </c>
      <c r="G209" s="19" t="s">
        <v>212</v>
      </c>
      <c r="J209" s="73"/>
    </row>
    <row r="211" spans="3:10" ht="15.75">
      <c r="C211" s="79" t="s">
        <v>222</v>
      </c>
      <c r="D211" s="31" t="s">
        <v>211</v>
      </c>
      <c r="E211" s="16">
        <f>E197+E204+E209</f>
        <v>38.040000000000006</v>
      </c>
      <c r="F211" s="79"/>
      <c r="G211" s="16" t="s">
        <v>212</v>
      </c>
      <c r="J211" s="73"/>
    </row>
    <row r="213" ht="15.75">
      <c r="B213" s="16" t="s">
        <v>258</v>
      </c>
    </row>
    <row r="214" spans="5:10" ht="15">
      <c r="E214" s="19">
        <f>'Other Costs'!F51</f>
        <v>1000</v>
      </c>
      <c r="G214" s="19" t="s">
        <v>259</v>
      </c>
      <c r="J214" s="73"/>
    </row>
    <row r="215" spans="4:10" ht="15">
      <c r="D215" s="32" t="s">
        <v>233</v>
      </c>
      <c r="E215" s="19">
        <f>'Other Costs'!F52</f>
        <v>1000</v>
      </c>
      <c r="G215" s="19" t="s">
        <v>260</v>
      </c>
      <c r="J215" s="73"/>
    </row>
    <row r="216" spans="4:10" ht="15">
      <c r="D216" s="32" t="s">
        <v>233</v>
      </c>
      <c r="E216" s="19">
        <f>'Other Costs'!F53</f>
        <v>850</v>
      </c>
      <c r="G216" s="19" t="s">
        <v>261</v>
      </c>
      <c r="J216" s="73"/>
    </row>
    <row r="217" spans="4:10" ht="15">
      <c r="D217" s="33" t="s">
        <v>209</v>
      </c>
      <c r="E217" s="96">
        <f>Assumptions!G5</f>
        <v>100</v>
      </c>
      <c r="F217" s="97"/>
      <c r="G217" s="24" t="s">
        <v>219</v>
      </c>
      <c r="H217" s="97"/>
      <c r="J217" s="73"/>
    </row>
    <row r="218" spans="4:10" ht="15.75">
      <c r="D218" s="31" t="s">
        <v>211</v>
      </c>
      <c r="E218" s="16">
        <f>ROUND((E214+E215+E216)/E217,2)</f>
        <v>28.5</v>
      </c>
      <c r="G218" s="16" t="s">
        <v>212</v>
      </c>
      <c r="J218" s="73"/>
    </row>
    <row r="220" ht="15.75">
      <c r="B220" s="16" t="s">
        <v>262</v>
      </c>
    </row>
    <row r="221" spans="4:10" ht="15">
      <c r="D221" s="32"/>
      <c r="E221" s="109">
        <f>(Assumptions!G5*Assumptions!H31)*'Other Costs'!F57</f>
        <v>9375</v>
      </c>
      <c r="G221" s="19" t="s">
        <v>347</v>
      </c>
      <c r="J221" s="73"/>
    </row>
    <row r="222" spans="4:10" ht="15">
      <c r="D222" s="32" t="s">
        <v>233</v>
      </c>
      <c r="E222" s="21">
        <f>((Assumptions!G7+Assumptions!G8)*Assumptions!H34)*'Other Costs'!F57</f>
        <v>2812.5</v>
      </c>
      <c r="G222" s="19" t="s">
        <v>349</v>
      </c>
      <c r="J222" s="73"/>
    </row>
    <row r="223" spans="4:10" ht="15">
      <c r="D223" s="32" t="s">
        <v>233</v>
      </c>
      <c r="E223" s="110">
        <f>(Assumptions!G6*Assumptions!H37)*'Other Costs'!F57</f>
        <v>341.25</v>
      </c>
      <c r="F223" s="97"/>
      <c r="G223" s="19" t="s">
        <v>220</v>
      </c>
      <c r="H223" s="97"/>
      <c r="J223" s="73"/>
    </row>
    <row r="224" spans="4:10" ht="15">
      <c r="D224" s="104" t="s">
        <v>233</v>
      </c>
      <c r="E224" s="72">
        <f>(Assumptions!G9*Assumptions!H40)*'Other Costs'!F57</f>
        <v>937.5</v>
      </c>
      <c r="G224" s="60" t="s">
        <v>221</v>
      </c>
      <c r="J224" s="73"/>
    </row>
    <row r="225" spans="4:10" ht="15">
      <c r="D225" s="33" t="s">
        <v>209</v>
      </c>
      <c r="E225" s="96">
        <f>Assumptions!G5</f>
        <v>100</v>
      </c>
      <c r="F225" s="97"/>
      <c r="G225" s="24" t="s">
        <v>219</v>
      </c>
      <c r="H225" s="97"/>
      <c r="J225" s="73"/>
    </row>
    <row r="226" spans="4:10" ht="15.75">
      <c r="D226" s="31" t="s">
        <v>211</v>
      </c>
      <c r="E226" s="16">
        <f>(E221+E222+E223+E224)/E225</f>
        <v>134.6625</v>
      </c>
      <c r="F226" s="79"/>
      <c r="G226" s="16" t="s">
        <v>212</v>
      </c>
      <c r="J226" s="73"/>
    </row>
    <row r="228" ht="15.75">
      <c r="B228" s="16" t="s">
        <v>263</v>
      </c>
    </row>
    <row r="229" spans="4:10" ht="15">
      <c r="D229" s="104"/>
      <c r="E229" s="21">
        <f>'Other Costs'!F60</f>
        <v>2000</v>
      </c>
      <c r="G229" s="19" t="s">
        <v>264</v>
      </c>
      <c r="J229" s="73"/>
    </row>
    <row r="230" spans="4:10" ht="15">
      <c r="D230" s="33" t="s">
        <v>209</v>
      </c>
      <c r="E230" s="96">
        <f>Assumptions!G5</f>
        <v>100</v>
      </c>
      <c r="F230" s="97"/>
      <c r="G230" s="24" t="s">
        <v>219</v>
      </c>
      <c r="H230" s="97"/>
      <c r="J230" s="73"/>
    </row>
    <row r="231" spans="4:10" ht="15.75">
      <c r="D231" s="31" t="s">
        <v>211</v>
      </c>
      <c r="E231" s="16">
        <f>ROUND(E229/E230,2)</f>
        <v>20</v>
      </c>
      <c r="F231" s="79"/>
      <c r="G231" s="16" t="s">
        <v>212</v>
      </c>
      <c r="J231" s="73"/>
    </row>
    <row r="233" ht="15.75">
      <c r="B233" s="16" t="s">
        <v>265</v>
      </c>
    </row>
    <row r="234" ht="15">
      <c r="C234" s="19" t="s">
        <v>384</v>
      </c>
    </row>
    <row r="235" spans="5:10" ht="15">
      <c r="E235" s="88">
        <f>Assumptions!G5+Assumptions!G6+Assumptions!G7+Assumptions!G8</f>
        <v>137</v>
      </c>
      <c r="G235" s="19" t="s">
        <v>266</v>
      </c>
      <c r="J235" s="73"/>
    </row>
    <row r="236" spans="4:10" ht="15">
      <c r="D236" s="32" t="s">
        <v>208</v>
      </c>
      <c r="E236" s="19">
        <f>'Other Costs'!F65</f>
        <v>20</v>
      </c>
      <c r="G236" s="19" t="s">
        <v>267</v>
      </c>
      <c r="J236" s="73"/>
    </row>
    <row r="237" spans="4:10" ht="15">
      <c r="D237" s="33" t="s">
        <v>209</v>
      </c>
      <c r="E237" s="96">
        <f>Assumptions!G5</f>
        <v>100</v>
      </c>
      <c r="F237" s="97"/>
      <c r="G237" s="24" t="s">
        <v>219</v>
      </c>
      <c r="H237" s="97"/>
      <c r="J237" s="73"/>
    </row>
    <row r="238" spans="4:10" ht="15.75">
      <c r="D238" s="31" t="s">
        <v>211</v>
      </c>
      <c r="E238" s="16">
        <f>ROUND(E235*E236/E237,2)</f>
        <v>27.4</v>
      </c>
      <c r="F238" s="79"/>
      <c r="G238" s="16" t="s">
        <v>212</v>
      </c>
      <c r="H238" s="79"/>
      <c r="J238" s="73"/>
    </row>
    <row r="240" ht="15.75">
      <c r="B240" s="16" t="s">
        <v>268</v>
      </c>
    </row>
    <row r="241" spans="4:10" ht="15">
      <c r="D241" s="104"/>
      <c r="E241" s="21">
        <f>'Other Costs'!F70</f>
        <v>1200</v>
      </c>
      <c r="G241" s="19" t="s">
        <v>264</v>
      </c>
      <c r="J241" s="73"/>
    </row>
    <row r="242" spans="4:10" ht="15">
      <c r="D242" s="33" t="s">
        <v>209</v>
      </c>
      <c r="E242" s="96">
        <f>Assumptions!G5</f>
        <v>100</v>
      </c>
      <c r="F242" s="97"/>
      <c r="G242" s="24" t="s">
        <v>219</v>
      </c>
      <c r="H242" s="97"/>
      <c r="J242" s="73"/>
    </row>
    <row r="243" spans="4:10" ht="15.75">
      <c r="D243" s="31" t="s">
        <v>211</v>
      </c>
      <c r="E243" s="16">
        <f>ROUND(E241/E242,2)</f>
        <v>12</v>
      </c>
      <c r="F243" s="79"/>
      <c r="G243" s="16" t="s">
        <v>212</v>
      </c>
      <c r="H243" s="79"/>
      <c r="J243" s="73"/>
    </row>
    <row r="245" ht="15.75">
      <c r="B245" s="16" t="s">
        <v>269</v>
      </c>
    </row>
    <row r="246" spans="4:10" ht="15">
      <c r="D246" s="104"/>
      <c r="E246" s="21">
        <f>'Other Costs'!F73</f>
        <v>2000</v>
      </c>
      <c r="G246" s="19" t="s">
        <v>264</v>
      </c>
      <c r="J246" s="73"/>
    </row>
    <row r="247" spans="4:10" ht="15">
      <c r="D247" s="33" t="s">
        <v>209</v>
      </c>
      <c r="E247" s="96">
        <f>Assumptions!G5</f>
        <v>100</v>
      </c>
      <c r="F247" s="97"/>
      <c r="G247" s="24" t="s">
        <v>219</v>
      </c>
      <c r="H247" s="97"/>
      <c r="J247" s="73"/>
    </row>
    <row r="248" spans="4:10" ht="15.75">
      <c r="D248" s="31" t="s">
        <v>211</v>
      </c>
      <c r="E248" s="16">
        <f>ROUND(E246/E247,2)</f>
        <v>20</v>
      </c>
      <c r="F248" s="79"/>
      <c r="G248" s="16" t="s">
        <v>212</v>
      </c>
      <c r="H248" s="79"/>
      <c r="J248" s="73"/>
    </row>
    <row r="250" ht="15.75">
      <c r="B250" s="16" t="s">
        <v>270</v>
      </c>
    </row>
    <row r="251" spans="4:10" ht="15">
      <c r="D251" s="104"/>
      <c r="E251" s="21">
        <f>(Assumptions!G5+Assumptions!G7)*'Capital Costs'!F27</f>
        <v>204000</v>
      </c>
      <c r="G251" s="19" t="s">
        <v>271</v>
      </c>
      <c r="J251" s="73"/>
    </row>
    <row r="252" spans="4:10" ht="15">
      <c r="D252" s="32" t="s">
        <v>233</v>
      </c>
      <c r="E252" s="21">
        <f>Assumptions!G6*'Capital Costs'!F28</f>
        <v>24500</v>
      </c>
      <c r="G252" s="19" t="s">
        <v>272</v>
      </c>
      <c r="J252" s="73"/>
    </row>
    <row r="253" spans="4:10" ht="15">
      <c r="D253" s="32" t="s">
        <v>208</v>
      </c>
      <c r="E253" s="62">
        <f>Assumptions!G12</f>
        <v>1</v>
      </c>
      <c r="G253" s="19" t="s">
        <v>273</v>
      </c>
      <c r="J253" s="73"/>
    </row>
    <row r="254" spans="4:10" ht="15">
      <c r="D254" s="33" t="s">
        <v>209</v>
      </c>
      <c r="E254" s="96">
        <f>Assumptions!G5</f>
        <v>100</v>
      </c>
      <c r="F254" s="97"/>
      <c r="G254" s="24" t="s">
        <v>219</v>
      </c>
      <c r="H254" s="97"/>
      <c r="J254" s="73"/>
    </row>
    <row r="255" spans="4:10" ht="15.75">
      <c r="D255" s="31" t="s">
        <v>211</v>
      </c>
      <c r="E255" s="16">
        <f>ROUND(((E251+E252)*E253/100)/E254,2)</f>
        <v>22.85</v>
      </c>
      <c r="F255" s="79"/>
      <c r="G255" s="16" t="s">
        <v>212</v>
      </c>
      <c r="J255" s="73"/>
    </row>
    <row r="257" ht="15.75">
      <c r="B257" s="16" t="s">
        <v>319</v>
      </c>
    </row>
    <row r="258" ht="15">
      <c r="C258" s="19" t="s">
        <v>274</v>
      </c>
    </row>
    <row r="259" ht="15">
      <c r="C259" s="19" t="s">
        <v>275</v>
      </c>
    </row>
    <row r="260" spans="5:10" ht="15">
      <c r="E260" s="19">
        <f>Summary!G24</f>
        <v>779.5975000000001</v>
      </c>
      <c r="G260" s="19" t="s">
        <v>276</v>
      </c>
      <c r="J260" s="73"/>
    </row>
    <row r="261" spans="4:10" ht="15">
      <c r="D261" s="32" t="s">
        <v>209</v>
      </c>
      <c r="E261" s="88">
        <v>2</v>
      </c>
      <c r="J261" s="73"/>
    </row>
    <row r="262" spans="4:10" ht="15">
      <c r="D262" s="33" t="s">
        <v>208</v>
      </c>
      <c r="E262" s="111">
        <f>'Other Costs'!F75</f>
        <v>7.25</v>
      </c>
      <c r="F262" s="74"/>
      <c r="G262" s="24" t="s">
        <v>277</v>
      </c>
      <c r="H262" s="97"/>
      <c r="I262" s="97"/>
      <c r="J262" s="73"/>
    </row>
    <row r="263" spans="4:10" ht="15.75">
      <c r="D263" s="31" t="s">
        <v>211</v>
      </c>
      <c r="E263" s="16">
        <f>ROUND(E260/E261*E262/100,2)</f>
        <v>28.26</v>
      </c>
      <c r="F263" s="79"/>
      <c r="G263" s="16" t="s">
        <v>212</v>
      </c>
      <c r="H263" s="79"/>
      <c r="J263" s="73"/>
    </row>
    <row r="266" spans="2:10" ht="18">
      <c r="B266" s="138" t="str">
        <f>'Capital Costs'!B4</f>
        <v>  CAPITAL INVESTMENT</v>
      </c>
      <c r="C266" s="142"/>
      <c r="D266" s="142"/>
      <c r="E266" s="142"/>
      <c r="F266" s="142"/>
      <c r="G266" s="142"/>
      <c r="H266" s="142"/>
      <c r="I266" s="142"/>
      <c r="J266" s="142"/>
    </row>
    <row r="268" ht="15.75">
      <c r="B268" s="79" t="str">
        <f>'Capital Costs'!B9</f>
        <v> Buildings</v>
      </c>
    </row>
    <row r="269" ht="15">
      <c r="B269" s="60" t="str">
        <f>'Capital Costs'!B10</f>
        <v>   PMU Barn; 76' X 130' @ $28/ft2</v>
      </c>
    </row>
    <row r="270" spans="2:10" ht="15">
      <c r="B270" s="60" t="str">
        <f>'Capital Costs'!B11</f>
        <v>   Barn (100 stalls)</v>
      </c>
      <c r="I270" s="109">
        <f>'Capital Costs'!H11</f>
        <v>276640</v>
      </c>
      <c r="J270" s="73"/>
    </row>
    <row r="271" spans="2:10" ht="15">
      <c r="B271" s="60" t="str">
        <f>'Capital Costs'!B12</f>
        <v>   Loose housing</v>
      </c>
      <c r="I271" s="112">
        <f>'Capital Costs'!H12</f>
        <v>5000</v>
      </c>
      <c r="J271" s="73"/>
    </row>
    <row r="272" spans="2:10" ht="15.75">
      <c r="B272" s="79" t="str">
        <f>'Capital Costs'!B13</f>
        <v>  Total Building Cost</v>
      </c>
      <c r="I272" s="113">
        <f>'Capital Costs'!H13</f>
        <v>281640</v>
      </c>
      <c r="J272" s="73"/>
    </row>
    <row r="273" ht="15">
      <c r="I273" s="109"/>
    </row>
    <row r="274" spans="2:9" ht="15.75">
      <c r="B274" s="79" t="str">
        <f>'Capital Costs'!B15</f>
        <v> Machinery &amp; Equipment</v>
      </c>
      <c r="I274" s="109">
        <f>'Capital Costs'!H15</f>
      </c>
    </row>
    <row r="275" spans="2:10" ht="15">
      <c r="B275" s="60" t="str">
        <f>'Capital Costs'!B16</f>
        <v>   Feed &amp; Water System </v>
      </c>
      <c r="I275" s="109">
        <f>'Capital Costs'!H16</f>
        <v>8000</v>
      </c>
      <c r="J275" s="73"/>
    </row>
    <row r="276" spans="2:10" ht="15">
      <c r="B276" s="60" t="str">
        <f>'Capital Costs'!B17</f>
        <v>   Halters</v>
      </c>
      <c r="I276" s="109">
        <f>'Capital Costs'!H17</f>
        <v>1000</v>
      </c>
      <c r="J276" s="73"/>
    </row>
    <row r="277" spans="2:10" ht="15">
      <c r="B277" s="60" t="str">
        <f>'Capital Costs'!B18</f>
        <v>   Collection Equipment</v>
      </c>
      <c r="I277" s="109">
        <f>'Capital Costs'!H18</f>
        <v>5000</v>
      </c>
      <c r="J277" s="73"/>
    </row>
    <row r="278" spans="2:10" ht="15">
      <c r="B278" s="60" t="str">
        <f>'Capital Costs'!B19</f>
        <v>   Tank &amp; Cooler</v>
      </c>
      <c r="I278" s="109">
        <f>'Capital Costs'!H19</f>
        <v>6500</v>
      </c>
      <c r="J278" s="73"/>
    </row>
    <row r="279" spans="2:10" ht="15">
      <c r="B279" s="60" t="str">
        <f>'Capital Costs'!B20</f>
        <v>   Tractor &amp; Loader</v>
      </c>
      <c r="I279" s="112">
        <f>'Capital Costs'!H20</f>
        <v>20000</v>
      </c>
      <c r="J279" s="73"/>
    </row>
    <row r="280" spans="2:10" ht="15.75">
      <c r="B280" s="79" t="str">
        <f>'Capital Costs'!B21</f>
        <v>   Total Machinery &amp; Equipment Cost</v>
      </c>
      <c r="I280" s="113">
        <f>'Capital Costs'!H21</f>
        <v>40500</v>
      </c>
      <c r="J280" s="73"/>
    </row>
    <row r="281" ht="15">
      <c r="I281" s="109"/>
    </row>
    <row r="282" spans="2:9" ht="15.75">
      <c r="B282" s="79" t="str">
        <f>'Capital Costs'!B23</f>
        <v> Land Cost</v>
      </c>
      <c r="I282" s="109"/>
    </row>
    <row r="283" spans="2:10" ht="15.75">
      <c r="B283" s="60" t="str">
        <f>'Capital Costs'!B24</f>
        <v>   Drylot Value (quarter section)</v>
      </c>
      <c r="I283" s="113">
        <f>'Capital Costs'!H24</f>
        <v>40000</v>
      </c>
      <c r="J283" s="73"/>
    </row>
    <row r="284" ht="15">
      <c r="I284" s="109"/>
    </row>
    <row r="285" spans="2:9" ht="15.75">
      <c r="B285" s="79" t="str">
        <f>'Capital Costs'!B26</f>
        <v> Breeding Herd Investment</v>
      </c>
      <c r="I285" s="109"/>
    </row>
    <row r="286" spans="2:10" ht="15">
      <c r="B286" s="60" t="str">
        <f>'Capital Costs'!B27</f>
        <v>   Mares</v>
      </c>
      <c r="E286" s="114" t="str">
        <f>'Capital Costs'!E27</f>
        <v>120@</v>
      </c>
      <c r="G286" s="109">
        <f>'Capital Costs'!F27</f>
        <v>1700</v>
      </c>
      <c r="H286" s="60" t="str">
        <f>'Capital Costs'!G27</f>
        <v>/Mare</v>
      </c>
      <c r="I286" s="109">
        <f>'Capital Costs'!H27</f>
        <v>204000</v>
      </c>
      <c r="J286" s="73"/>
    </row>
    <row r="287" spans="2:10" ht="15">
      <c r="B287" s="60" t="str">
        <f>'Capital Costs'!B28</f>
        <v>   Studs</v>
      </c>
      <c r="E287" s="114" t="str">
        <f>'Capital Costs'!E28</f>
        <v>7@</v>
      </c>
      <c r="G287" s="109">
        <f>'Capital Costs'!F28</f>
        <v>3500</v>
      </c>
      <c r="H287" s="60" t="str">
        <f>'Capital Costs'!G28</f>
        <v>/Stud</v>
      </c>
      <c r="I287" s="109">
        <f>'Capital Costs'!H28</f>
        <v>24500</v>
      </c>
      <c r="J287" s="73"/>
    </row>
    <row r="288" spans="2:10" ht="15">
      <c r="B288" s="60" t="str">
        <f>'Capital Costs'!B29</f>
        <v>   2 year olds</v>
      </c>
      <c r="E288" s="114" t="str">
        <f>'Capital Costs'!E29</f>
        <v>10@</v>
      </c>
      <c r="G288" s="109">
        <f>'Capital Costs'!F29</f>
        <v>1000</v>
      </c>
      <c r="H288" s="60" t="str">
        <f>'Capital Costs'!G29</f>
        <v>/2 yrs</v>
      </c>
      <c r="I288" s="109">
        <f>'Capital Costs'!H29</f>
        <v>10000</v>
      </c>
      <c r="J288" s="73"/>
    </row>
    <row r="289" spans="2:10" ht="15">
      <c r="B289" s="60" t="str">
        <f>'Capital Costs'!B30</f>
        <v>   Yearlings</v>
      </c>
      <c r="E289" s="114" t="str">
        <f>'Capital Costs'!E30</f>
        <v>10@</v>
      </c>
      <c r="G289" s="109">
        <f>'Capital Costs'!F30</f>
        <v>500</v>
      </c>
      <c r="H289" s="60" t="str">
        <f>'Capital Costs'!G30</f>
        <v>/Yrly</v>
      </c>
      <c r="I289" s="112">
        <f>'Capital Costs'!H30</f>
        <v>5000</v>
      </c>
      <c r="J289" s="73"/>
    </row>
    <row r="290" spans="2:10" ht="15.75">
      <c r="B290" s="79" t="str">
        <f>'Capital Costs'!B31</f>
        <v>  Total Breeding Herd Investment</v>
      </c>
      <c r="I290" s="113">
        <f>'Capital Costs'!H31</f>
        <v>243500</v>
      </c>
      <c r="J290" s="73"/>
    </row>
    <row r="291" ht="15">
      <c r="I291" s="109"/>
    </row>
    <row r="292" spans="2:10" ht="15.75">
      <c r="B292" s="79" t="str">
        <f>'Capital Costs'!B33</f>
        <v>TOTAL CAPITAL INVESTMENT</v>
      </c>
      <c r="I292" s="113">
        <f>'Capital Costs'!H33</f>
        <v>605640</v>
      </c>
      <c r="J292" s="73"/>
    </row>
    <row r="294" ht="15.75">
      <c r="B294" s="16" t="s">
        <v>30</v>
      </c>
    </row>
    <row r="296" ht="15.75">
      <c r="B296" s="16" t="s">
        <v>31</v>
      </c>
    </row>
    <row r="297" ht="15">
      <c r="C297" s="19" t="s">
        <v>278</v>
      </c>
    </row>
    <row r="298" ht="15">
      <c r="C298" s="19" t="s">
        <v>334</v>
      </c>
    </row>
    <row r="299" spans="3:6" ht="15">
      <c r="C299" s="140" t="s">
        <v>335</v>
      </c>
      <c r="D299" s="140"/>
      <c r="E299" s="140"/>
      <c r="F299" s="140"/>
    </row>
    <row r="300" ht="15.75">
      <c r="B300" s="16" t="s">
        <v>279</v>
      </c>
    </row>
    <row r="301" spans="4:10" ht="15">
      <c r="D301" s="104"/>
      <c r="E301" s="72">
        <f>'Capital Costs'!H13</f>
        <v>281640</v>
      </c>
      <c r="G301" s="19" t="s">
        <v>280</v>
      </c>
      <c r="J301" s="73"/>
    </row>
    <row r="302" spans="4:10" ht="15">
      <c r="D302" s="32" t="s">
        <v>281</v>
      </c>
      <c r="E302" s="72">
        <f>'Capital Costs'!H13*'Capital Costs'!I13/100</f>
        <v>14082</v>
      </c>
      <c r="G302" s="19" t="s">
        <v>282</v>
      </c>
      <c r="J302" s="73"/>
    </row>
    <row r="303" spans="4:10" ht="15">
      <c r="D303" s="32" t="s">
        <v>209</v>
      </c>
      <c r="E303" s="88">
        <f>'Capital Costs'!J13</f>
        <v>20</v>
      </c>
      <c r="G303" s="19" t="s">
        <v>283</v>
      </c>
      <c r="J303" s="73"/>
    </row>
    <row r="304" spans="4:10" ht="15">
      <c r="D304" s="33" t="s">
        <v>209</v>
      </c>
      <c r="E304" s="96">
        <f>Assumptions!G5</f>
        <v>100</v>
      </c>
      <c r="F304" s="97"/>
      <c r="G304" s="24" t="s">
        <v>219</v>
      </c>
      <c r="H304" s="97"/>
      <c r="J304" s="73"/>
    </row>
    <row r="305" spans="4:10" ht="15.75">
      <c r="D305" s="31" t="s">
        <v>211</v>
      </c>
      <c r="E305" s="16">
        <f>IF(ISERR((E301-E302)/E303/E304),0,ROUND((E301-E302)/E303/E304,2))</f>
        <v>133.78</v>
      </c>
      <c r="F305" s="79"/>
      <c r="G305" s="16" t="s">
        <v>212</v>
      </c>
      <c r="H305" s="79"/>
      <c r="J305" s="73"/>
    </row>
    <row r="307" ht="15.75">
      <c r="B307" s="16" t="s">
        <v>284</v>
      </c>
    </row>
    <row r="308" spans="5:10" ht="15">
      <c r="E308" s="72">
        <f>'Capital Costs'!H21</f>
        <v>40500</v>
      </c>
      <c r="G308" s="19" t="s">
        <v>280</v>
      </c>
      <c r="J308" s="73"/>
    </row>
    <row r="309" spans="4:10" ht="15">
      <c r="D309" s="32" t="s">
        <v>281</v>
      </c>
      <c r="E309" s="72">
        <f>'Capital Costs'!H21*'Capital Costs'!I21/100</f>
        <v>4050</v>
      </c>
      <c r="G309" s="19" t="s">
        <v>282</v>
      </c>
      <c r="J309" s="73"/>
    </row>
    <row r="310" spans="4:10" ht="15">
      <c r="D310" s="32" t="s">
        <v>209</v>
      </c>
      <c r="E310" s="88">
        <f>'Capital Costs'!J21</f>
        <v>10</v>
      </c>
      <c r="G310" s="19" t="s">
        <v>283</v>
      </c>
      <c r="J310" s="73"/>
    </row>
    <row r="311" spans="4:10" ht="15">
      <c r="D311" s="33" t="s">
        <v>209</v>
      </c>
      <c r="E311" s="96">
        <f>Assumptions!G5</f>
        <v>100</v>
      </c>
      <c r="F311" s="97"/>
      <c r="G311" s="24" t="s">
        <v>219</v>
      </c>
      <c r="H311" s="97"/>
      <c r="J311" s="73"/>
    </row>
    <row r="312" spans="4:10" ht="15.75">
      <c r="D312" s="31" t="s">
        <v>211</v>
      </c>
      <c r="E312" s="16">
        <f>IF(ISERR((E308-E309)/E310/E311),0,ROUND((E308-E309)/E310/E311,2))</f>
        <v>36.45</v>
      </c>
      <c r="F312" s="79"/>
      <c r="G312" s="16" t="s">
        <v>212</v>
      </c>
      <c r="H312" s="79"/>
      <c r="J312" s="73"/>
    </row>
    <row r="314" ht="15.75">
      <c r="B314" s="16" t="s">
        <v>285</v>
      </c>
    </row>
    <row r="315" spans="3:8" ht="15">
      <c r="C315" s="19" t="s">
        <v>286</v>
      </c>
      <c r="H315" s="19" t="s">
        <v>10</v>
      </c>
    </row>
    <row r="316" spans="2:7" ht="15">
      <c r="B316" s="82"/>
      <c r="D316" s="82"/>
      <c r="E316" s="82"/>
      <c r="F316" s="82"/>
      <c r="G316" s="82"/>
    </row>
    <row r="317" spans="3:7" ht="15">
      <c r="C317" s="20" t="s">
        <v>336</v>
      </c>
      <c r="D317" s="115"/>
      <c r="E317" s="115"/>
      <c r="G317" s="19"/>
    </row>
    <row r="318" spans="4:6" ht="15">
      <c r="D318" s="88">
        <v>2</v>
      </c>
      <c r="F318" s="77" t="s">
        <v>10</v>
      </c>
    </row>
    <row r="320" ht="15.75">
      <c r="B320" s="16" t="s">
        <v>287</v>
      </c>
    </row>
    <row r="321" spans="4:10" ht="15">
      <c r="D321" s="104"/>
      <c r="E321" s="72">
        <f>'Capital Costs'!H13</f>
        <v>281640</v>
      </c>
      <c r="G321" s="19" t="s">
        <v>280</v>
      </c>
      <c r="J321" s="73"/>
    </row>
    <row r="322" spans="4:10" ht="15">
      <c r="D322" s="32" t="s">
        <v>233</v>
      </c>
      <c r="E322" s="72">
        <f>'Capital Costs'!H13*'Capital Costs'!I13/100</f>
        <v>14082</v>
      </c>
      <c r="G322" s="19" t="s">
        <v>282</v>
      </c>
      <c r="J322" s="73"/>
    </row>
    <row r="323" spans="4:10" ht="15">
      <c r="D323" s="32" t="s">
        <v>209</v>
      </c>
      <c r="E323" s="88">
        <v>2</v>
      </c>
      <c r="G323" s="60" t="s">
        <v>337</v>
      </c>
      <c r="J323" s="73"/>
    </row>
    <row r="324" spans="4:10" ht="15">
      <c r="D324" s="32" t="s">
        <v>208</v>
      </c>
      <c r="E324" s="62">
        <f>'Capital Costs'!G6</f>
        <v>5</v>
      </c>
      <c r="G324" s="19" t="s">
        <v>288</v>
      </c>
      <c r="J324" s="73"/>
    </row>
    <row r="325" spans="4:10" ht="15">
      <c r="D325" s="33" t="s">
        <v>209</v>
      </c>
      <c r="E325" s="96">
        <f>Assumptions!G5</f>
        <v>100</v>
      </c>
      <c r="F325" s="97"/>
      <c r="G325" s="24" t="s">
        <v>219</v>
      </c>
      <c r="H325" s="97"/>
      <c r="J325" s="73"/>
    </row>
    <row r="326" spans="4:10" ht="15.75">
      <c r="D326" s="32" t="s">
        <v>211</v>
      </c>
      <c r="E326" s="16">
        <f>ROUND((E321+E322)/E323*E324/100/E325,2)</f>
        <v>73.93</v>
      </c>
      <c r="F326" s="79"/>
      <c r="G326" s="16" t="s">
        <v>212</v>
      </c>
      <c r="H326" s="79"/>
      <c r="J326" s="73"/>
    </row>
    <row r="328" ht="15.75">
      <c r="B328" s="16" t="s">
        <v>289</v>
      </c>
    </row>
    <row r="329" spans="5:10" ht="15">
      <c r="E329" s="72">
        <f>'Capital Costs'!H21</f>
        <v>40500</v>
      </c>
      <c r="G329" s="19" t="s">
        <v>280</v>
      </c>
      <c r="J329" s="73"/>
    </row>
    <row r="330" spans="4:10" ht="15">
      <c r="D330" s="32" t="s">
        <v>233</v>
      </c>
      <c r="E330" s="72">
        <f>'Capital Costs'!H21*'Capital Costs'!I21/100</f>
        <v>4050</v>
      </c>
      <c r="G330" s="19" t="s">
        <v>282</v>
      </c>
      <c r="J330" s="73"/>
    </row>
    <row r="331" spans="4:10" ht="15">
      <c r="D331" s="32" t="s">
        <v>209</v>
      </c>
      <c r="E331" s="88">
        <v>2</v>
      </c>
      <c r="G331" s="60" t="s">
        <v>337</v>
      </c>
      <c r="J331" s="73"/>
    </row>
    <row r="332" spans="4:10" ht="15">
      <c r="D332" s="32" t="s">
        <v>208</v>
      </c>
      <c r="E332" s="62">
        <f>'Capital Costs'!G6</f>
        <v>5</v>
      </c>
      <c r="G332" s="19" t="s">
        <v>288</v>
      </c>
      <c r="J332" s="73"/>
    </row>
    <row r="333" spans="4:10" ht="15">
      <c r="D333" s="33" t="s">
        <v>209</v>
      </c>
      <c r="E333" s="96">
        <f>Assumptions!G5</f>
        <v>100</v>
      </c>
      <c r="F333" s="97"/>
      <c r="G333" s="24" t="s">
        <v>219</v>
      </c>
      <c r="H333" s="97"/>
      <c r="J333" s="73"/>
    </row>
    <row r="334" spans="4:10" ht="15.75">
      <c r="D334" s="32" t="s">
        <v>211</v>
      </c>
      <c r="E334" s="16">
        <f>ROUND((E329+E330)/E331*E332/100/E333,2)</f>
        <v>11.14</v>
      </c>
      <c r="F334" s="79"/>
      <c r="G334" s="16" t="s">
        <v>212</v>
      </c>
      <c r="H334" s="79"/>
      <c r="J334" s="73"/>
    </row>
    <row r="336" ht="15.75">
      <c r="B336" s="16" t="s">
        <v>290</v>
      </c>
    </row>
    <row r="337" spans="5:10" ht="15">
      <c r="E337" s="72">
        <f>'Capital Costs'!H24</f>
        <v>40000</v>
      </c>
      <c r="G337" s="19" t="s">
        <v>291</v>
      </c>
      <c r="J337" s="73"/>
    </row>
    <row r="338" spans="4:10" ht="15.75" customHeight="1">
      <c r="D338" s="32" t="s">
        <v>208</v>
      </c>
      <c r="E338" s="62">
        <f>'Capital Costs'!G6</f>
        <v>5</v>
      </c>
      <c r="G338" s="19" t="s">
        <v>288</v>
      </c>
      <c r="J338" s="73"/>
    </row>
    <row r="339" spans="4:10" ht="15">
      <c r="D339" s="33" t="s">
        <v>209</v>
      </c>
      <c r="E339" s="96">
        <f>Assumptions!G5</f>
        <v>100</v>
      </c>
      <c r="F339" s="97"/>
      <c r="G339" s="24" t="s">
        <v>219</v>
      </c>
      <c r="H339" s="97"/>
      <c r="J339" s="73"/>
    </row>
    <row r="340" spans="4:10" ht="15.75">
      <c r="D340" s="32" t="s">
        <v>211</v>
      </c>
      <c r="E340" s="16">
        <f>ROUND(E337*E338/100/E339,2)</f>
        <v>20</v>
      </c>
      <c r="F340" s="79"/>
      <c r="G340" s="16" t="s">
        <v>212</v>
      </c>
      <c r="H340" s="79"/>
      <c r="J340" s="73"/>
    </row>
    <row r="342" ht="15.75">
      <c r="B342" s="16" t="s">
        <v>292</v>
      </c>
    </row>
    <row r="343" spans="4:10" ht="15">
      <c r="D343" s="104"/>
      <c r="E343" s="72">
        <f>'Capital Costs'!H31</f>
        <v>243500</v>
      </c>
      <c r="G343" s="19" t="s">
        <v>293</v>
      </c>
      <c r="J343" s="73"/>
    </row>
    <row r="344" spans="4:10" ht="15">
      <c r="D344" s="32" t="s">
        <v>208</v>
      </c>
      <c r="E344" s="62">
        <f>'Capital Costs'!G6</f>
        <v>5</v>
      </c>
      <c r="G344" s="19" t="s">
        <v>288</v>
      </c>
      <c r="J344" s="73"/>
    </row>
    <row r="345" spans="4:10" ht="15">
      <c r="D345" s="33" t="s">
        <v>209</v>
      </c>
      <c r="E345" s="96">
        <f>Assumptions!G5</f>
        <v>100</v>
      </c>
      <c r="F345" s="97"/>
      <c r="G345" s="24" t="s">
        <v>219</v>
      </c>
      <c r="H345" s="97"/>
      <c r="J345" s="73"/>
    </row>
    <row r="346" spans="4:10" ht="15.75">
      <c r="D346" s="32" t="s">
        <v>211</v>
      </c>
      <c r="E346" s="16">
        <f>ROUND(E343*E344/100/E345,2)</f>
        <v>121.75</v>
      </c>
      <c r="F346" s="79"/>
      <c r="G346" s="16" t="s">
        <v>212</v>
      </c>
      <c r="H346" s="79"/>
      <c r="J346" s="73"/>
    </row>
    <row r="348" ht="15.75">
      <c r="B348" s="16" t="s">
        <v>41</v>
      </c>
    </row>
    <row r="349" ht="15.75">
      <c r="B349" s="16" t="s">
        <v>294</v>
      </c>
    </row>
    <row r="350" spans="4:10" ht="15">
      <c r="D350" s="104"/>
      <c r="E350" s="62">
        <f>'Other Costs'!F80</f>
        <v>6</v>
      </c>
      <c r="G350" s="19" t="s">
        <v>295</v>
      </c>
      <c r="J350" s="73"/>
    </row>
    <row r="351" spans="4:10" ht="15">
      <c r="D351" s="32" t="s">
        <v>208</v>
      </c>
      <c r="E351" s="88">
        <f>Assumptions!H29+Assumptions!H30</f>
        <v>240</v>
      </c>
      <c r="G351" s="19" t="s">
        <v>296</v>
      </c>
      <c r="J351" s="73"/>
    </row>
    <row r="352" spans="4:10" ht="15">
      <c r="D352" s="32" t="s">
        <v>208</v>
      </c>
      <c r="E352" s="19">
        <f>'Other Costs'!F82</f>
        <v>10</v>
      </c>
      <c r="G352" s="19" t="s">
        <v>297</v>
      </c>
      <c r="J352" s="73"/>
    </row>
    <row r="353" spans="4:10" ht="15">
      <c r="D353" s="33" t="s">
        <v>209</v>
      </c>
      <c r="E353" s="96">
        <f>Assumptions!G5</f>
        <v>100</v>
      </c>
      <c r="F353" s="97"/>
      <c r="G353" s="24" t="s">
        <v>219</v>
      </c>
      <c r="H353" s="97"/>
      <c r="J353" s="73"/>
    </row>
    <row r="354" spans="4:10" ht="15.75">
      <c r="D354" s="32" t="s">
        <v>211</v>
      </c>
      <c r="E354" s="16">
        <f>ROUND((E350*E351)*E352/E353,2)</f>
        <v>144</v>
      </c>
      <c r="G354" s="16" t="s">
        <v>212</v>
      </c>
      <c r="J354" s="73"/>
    </row>
    <row r="356" ht="15.75">
      <c r="B356" s="16" t="s">
        <v>298</v>
      </c>
    </row>
    <row r="357" spans="4:10" ht="15">
      <c r="D357" s="104"/>
      <c r="E357" s="62">
        <f>'Other Costs'!F81</f>
        <v>1</v>
      </c>
      <c r="G357" s="19" t="s">
        <v>295</v>
      </c>
      <c r="J357" s="73"/>
    </row>
    <row r="358" spans="4:10" ht="15">
      <c r="D358" s="32" t="s">
        <v>208</v>
      </c>
      <c r="E358" s="88">
        <f>Assumptions!H31</f>
        <v>125</v>
      </c>
      <c r="G358" s="19" t="s">
        <v>296</v>
      </c>
      <c r="J358" s="73"/>
    </row>
    <row r="359" spans="4:10" ht="15">
      <c r="D359" s="32" t="s">
        <v>208</v>
      </c>
      <c r="E359" s="19">
        <f>'Other Costs'!F82</f>
        <v>10</v>
      </c>
      <c r="G359" s="19" t="s">
        <v>297</v>
      </c>
      <c r="J359" s="73"/>
    </row>
    <row r="360" spans="4:10" ht="15">
      <c r="D360" s="33" t="s">
        <v>209</v>
      </c>
      <c r="E360" s="96">
        <f>Assumptions!G5</f>
        <v>100</v>
      </c>
      <c r="F360" s="97"/>
      <c r="G360" s="24" t="s">
        <v>219</v>
      </c>
      <c r="H360" s="97"/>
      <c r="J360" s="73"/>
    </row>
    <row r="361" spans="4:10" ht="15.75">
      <c r="D361" s="32" t="s">
        <v>211</v>
      </c>
      <c r="E361" s="16">
        <f>ROUND((E357*E358)*E359/E360,2)</f>
        <v>12.5</v>
      </c>
      <c r="G361" s="16" t="s">
        <v>212</v>
      </c>
      <c r="J361" s="73"/>
    </row>
    <row r="362" ht="15.75">
      <c r="B362" s="16" t="s">
        <v>360</v>
      </c>
    </row>
    <row r="363" ht="15.75">
      <c r="B363" s="16" t="s">
        <v>314</v>
      </c>
    </row>
    <row r="364" spans="3:10" ht="15">
      <c r="C364" s="19" t="s">
        <v>299</v>
      </c>
      <c r="D364" s="32" t="s">
        <v>208</v>
      </c>
      <c r="E364" s="88">
        <f>ROUND((Assumptions!$G$5+Assumptions!$G$7)*Assumptions!$G$13/100,0)</f>
        <v>10</v>
      </c>
      <c r="G364" s="19" t="s">
        <v>300</v>
      </c>
      <c r="J364" s="73"/>
    </row>
    <row r="365" spans="4:10" ht="15">
      <c r="D365" s="32" t="s">
        <v>281</v>
      </c>
      <c r="E365" s="88">
        <f>ROUND((Assumptions!$G$5+Assumptions!$G$7)*Assumptions!$G$12/100,0)</f>
        <v>1</v>
      </c>
      <c r="G365" s="19" t="s">
        <v>301</v>
      </c>
      <c r="J365" s="73"/>
    </row>
    <row r="366" spans="4:10" ht="15">
      <c r="D366" s="32" t="s">
        <v>208</v>
      </c>
      <c r="E366" s="19">
        <f>IF(E364=0,0,Assumptions!G15)</f>
        <v>420</v>
      </c>
      <c r="G366" s="19" t="s">
        <v>302</v>
      </c>
      <c r="J366" s="73"/>
    </row>
    <row r="367" spans="4:10" ht="15">
      <c r="D367" s="33" t="s">
        <v>209</v>
      </c>
      <c r="E367" s="96">
        <f>Assumptions!G5</f>
        <v>100</v>
      </c>
      <c r="F367" s="116"/>
      <c r="G367" s="24" t="s">
        <v>219</v>
      </c>
      <c r="H367" s="116"/>
      <c r="J367" s="73"/>
    </row>
    <row r="368" spans="4:10" ht="15">
      <c r="D368" s="32" t="s">
        <v>211</v>
      </c>
      <c r="E368" s="19">
        <f>ROUND((E364-E365)*E366/E367,2)</f>
        <v>37.8</v>
      </c>
      <c r="G368" s="19" t="s">
        <v>212</v>
      </c>
      <c r="J368" s="73"/>
    </row>
    <row r="369" spans="2:8" ht="15">
      <c r="B369" s="82"/>
      <c r="C369" s="82"/>
      <c r="D369" s="82"/>
      <c r="F369" s="82"/>
      <c r="H369" s="82"/>
    </row>
    <row r="370" spans="2:10" ht="15">
      <c r="B370" s="82"/>
      <c r="C370" s="82" t="s">
        <v>303</v>
      </c>
      <c r="D370" s="82"/>
      <c r="E370" s="88">
        <f>ROUND((Assumptions!$G$5+Assumptions!$G$7)*Assumptions!$G$13/100,0)</f>
        <v>10</v>
      </c>
      <c r="F370" s="82"/>
      <c r="G370" s="19" t="s">
        <v>300</v>
      </c>
      <c r="J370" s="73"/>
    </row>
    <row r="371" spans="2:10" ht="15">
      <c r="B371" s="82"/>
      <c r="C371" s="82"/>
      <c r="D371" s="32" t="s">
        <v>281</v>
      </c>
      <c r="E371" s="88">
        <f>ROUND((Assumptions!$G$5+Assumptions!$G$7)*Assumptions!$G$12/100,0)</f>
        <v>1</v>
      </c>
      <c r="F371" s="82"/>
      <c r="G371" s="19" t="s">
        <v>301</v>
      </c>
      <c r="J371" s="73"/>
    </row>
    <row r="372" spans="2:10" ht="15">
      <c r="B372" s="82"/>
      <c r="C372" s="82"/>
      <c r="D372" s="32" t="s">
        <v>208</v>
      </c>
      <c r="E372" s="22">
        <f>Assumptions!G16</f>
        <v>1400</v>
      </c>
      <c r="F372" s="82"/>
      <c r="G372" s="19" t="s">
        <v>304</v>
      </c>
      <c r="J372" s="73"/>
    </row>
    <row r="373" spans="2:10" ht="15">
      <c r="B373" s="82"/>
      <c r="C373" s="82"/>
      <c r="D373" s="32" t="s">
        <v>208</v>
      </c>
      <c r="E373" s="19">
        <f>IF(E370=0,0,Assumptions!$G$23)</f>
        <v>1.25</v>
      </c>
      <c r="F373" s="82"/>
      <c r="G373" s="19" t="s">
        <v>305</v>
      </c>
      <c r="J373" s="73"/>
    </row>
    <row r="374" spans="2:10" ht="15">
      <c r="B374" s="82"/>
      <c r="C374" s="82"/>
      <c r="D374" s="32" t="s">
        <v>209</v>
      </c>
      <c r="E374" s="22">
        <v>100</v>
      </c>
      <c r="F374" s="82"/>
      <c r="G374" s="19" t="s">
        <v>306</v>
      </c>
      <c r="J374" s="73"/>
    </row>
    <row r="375" spans="2:10" ht="15">
      <c r="B375" s="82"/>
      <c r="C375" s="82"/>
      <c r="D375" s="33" t="s">
        <v>209</v>
      </c>
      <c r="E375" s="30">
        <f>Assumptions!G5</f>
        <v>100</v>
      </c>
      <c r="F375" s="116"/>
      <c r="G375" s="24" t="s">
        <v>219</v>
      </c>
      <c r="H375" s="116"/>
      <c r="J375" s="73"/>
    </row>
    <row r="376" spans="4:10" ht="15">
      <c r="D376" s="32" t="s">
        <v>211</v>
      </c>
      <c r="E376" s="60">
        <f>ROUND((((((E370-E371)*E372)*E373)/E374)/E375),2)</f>
        <v>1.58</v>
      </c>
      <c r="G376" s="19" t="s">
        <v>212</v>
      </c>
      <c r="J376" s="73"/>
    </row>
    <row r="377" spans="2:8" ht="15">
      <c r="B377" s="82"/>
      <c r="C377" s="82"/>
      <c r="E377" s="82"/>
      <c r="F377" s="82"/>
      <c r="H377" s="82"/>
    </row>
    <row r="378" spans="2:10" ht="15">
      <c r="B378" s="82"/>
      <c r="C378" s="82" t="s">
        <v>307</v>
      </c>
      <c r="E378" s="88">
        <f>ROUND((Assumptions!$G$5+Assumptions!$G$7)*Assumptions!$G$13/100,0)</f>
        <v>10</v>
      </c>
      <c r="F378" s="82"/>
      <c r="G378" s="19" t="s">
        <v>300</v>
      </c>
      <c r="H378" s="82"/>
      <c r="J378" s="73"/>
    </row>
    <row r="379" spans="2:10" ht="15">
      <c r="B379" s="82"/>
      <c r="C379" s="82"/>
      <c r="D379" s="32" t="s">
        <v>281</v>
      </c>
      <c r="E379" s="88">
        <f>ROUND((Assumptions!$G$5+Assumptions!$G$7)*Assumptions!$G$12/100,0)</f>
        <v>1</v>
      </c>
      <c r="F379" s="82"/>
      <c r="G379" s="19" t="s">
        <v>301</v>
      </c>
      <c r="H379" s="82"/>
      <c r="J379" s="73"/>
    </row>
    <row r="380" spans="2:10" ht="15">
      <c r="B380" s="82"/>
      <c r="C380" s="82"/>
      <c r="D380" s="32" t="s">
        <v>208</v>
      </c>
      <c r="E380" s="60">
        <f>IF(E378=0,0,Assumptions!$G$19)</f>
        <v>12</v>
      </c>
      <c r="F380" s="82"/>
      <c r="G380" s="19" t="s">
        <v>308</v>
      </c>
      <c r="H380" s="82"/>
      <c r="J380" s="73"/>
    </row>
    <row r="381" spans="2:10" ht="15">
      <c r="B381" s="82"/>
      <c r="C381" s="82"/>
      <c r="D381" s="33" t="s">
        <v>209</v>
      </c>
      <c r="E381" s="96">
        <f>Assumptions!G5</f>
        <v>100</v>
      </c>
      <c r="F381" s="116"/>
      <c r="G381" s="24" t="s">
        <v>219</v>
      </c>
      <c r="H381" s="116"/>
      <c r="J381" s="73"/>
    </row>
    <row r="382" spans="2:10" ht="15">
      <c r="B382" s="82"/>
      <c r="C382" s="82"/>
      <c r="D382" s="32" t="s">
        <v>211</v>
      </c>
      <c r="E382" s="60">
        <f>ROUND((((E378-E379)*E380)/E381),2)</f>
        <v>1.08</v>
      </c>
      <c r="F382" s="82"/>
      <c r="G382" s="19" t="s">
        <v>212</v>
      </c>
      <c r="H382" s="82"/>
      <c r="J382" s="73"/>
    </row>
    <row r="383" spans="2:8" ht="15">
      <c r="B383" s="82"/>
      <c r="C383" s="82"/>
      <c r="E383" s="82"/>
      <c r="F383" s="82"/>
      <c r="H383" s="82"/>
    </row>
    <row r="384" spans="2:10" ht="15">
      <c r="B384" s="82"/>
      <c r="C384" s="117" t="s">
        <v>316</v>
      </c>
      <c r="D384" s="32" t="s">
        <v>211</v>
      </c>
      <c r="E384" s="60">
        <f>E368-E376-E382</f>
        <v>35.14</v>
      </c>
      <c r="F384" s="82"/>
      <c r="G384" s="19" t="s">
        <v>212</v>
      </c>
      <c r="H384" s="82"/>
      <c r="J384" s="73"/>
    </row>
    <row r="385" spans="2:8" ht="15">
      <c r="B385" s="82"/>
      <c r="C385" s="82"/>
      <c r="E385" s="82"/>
      <c r="F385" s="82"/>
      <c r="H385" s="82"/>
    </row>
    <row r="386" ht="15.75">
      <c r="B386" s="16" t="s">
        <v>351</v>
      </c>
    </row>
    <row r="387" spans="3:10" ht="15">
      <c r="C387" s="19" t="s">
        <v>299</v>
      </c>
      <c r="D387" s="32" t="s">
        <v>208</v>
      </c>
      <c r="E387" s="118">
        <f>Assumptions!$G$6*Assumptions!$G$13/100</f>
        <v>0.56</v>
      </c>
      <c r="G387" s="19" t="s">
        <v>352</v>
      </c>
      <c r="J387" s="73"/>
    </row>
    <row r="388" spans="4:11" ht="15">
      <c r="D388" s="32" t="s">
        <v>281</v>
      </c>
      <c r="E388" s="118">
        <f>Assumptions!$G$6*Assumptions!$G$12/100</f>
        <v>0.07</v>
      </c>
      <c r="G388" s="19" t="s">
        <v>353</v>
      </c>
      <c r="J388" s="73"/>
      <c r="K388" s="82"/>
    </row>
    <row r="389" spans="4:10" ht="15">
      <c r="D389" s="32" t="s">
        <v>208</v>
      </c>
      <c r="E389" s="19">
        <f>Assumptions!G17</f>
        <v>510</v>
      </c>
      <c r="G389" s="19" t="s">
        <v>354</v>
      </c>
      <c r="J389" s="73"/>
    </row>
    <row r="390" spans="4:10" ht="15">
      <c r="D390" s="33" t="s">
        <v>209</v>
      </c>
      <c r="E390" s="96">
        <f>Assumptions!G5</f>
        <v>100</v>
      </c>
      <c r="F390" s="116"/>
      <c r="G390" s="24" t="s">
        <v>219</v>
      </c>
      <c r="H390" s="116"/>
      <c r="J390" s="73"/>
    </row>
    <row r="391" spans="4:10" ht="15">
      <c r="D391" s="32" t="s">
        <v>211</v>
      </c>
      <c r="E391" s="19">
        <f>ROUND((E387-E388)*E389/E390,2)</f>
        <v>2.5</v>
      </c>
      <c r="G391" s="19" t="s">
        <v>212</v>
      </c>
      <c r="J391" s="73"/>
    </row>
    <row r="392" spans="2:8" ht="15">
      <c r="B392" s="82"/>
      <c r="C392" s="82"/>
      <c r="E392" s="82"/>
      <c r="F392" s="82"/>
      <c r="H392" s="82"/>
    </row>
    <row r="393" spans="2:10" ht="15">
      <c r="B393" s="82"/>
      <c r="C393" s="82" t="s">
        <v>303</v>
      </c>
      <c r="D393" s="82"/>
      <c r="E393" s="118">
        <f>Assumptions!$G$6*Assumptions!$G$13/100</f>
        <v>0.56</v>
      </c>
      <c r="F393" s="82"/>
      <c r="G393" s="19" t="s">
        <v>352</v>
      </c>
      <c r="J393" s="73"/>
    </row>
    <row r="394" spans="2:10" ht="15">
      <c r="B394" s="82"/>
      <c r="C394" s="82"/>
      <c r="D394" s="32" t="s">
        <v>281</v>
      </c>
      <c r="E394" s="118">
        <f>Assumptions!$G$6*Assumptions!$G$12/100</f>
        <v>0.07</v>
      </c>
      <c r="F394" s="82"/>
      <c r="G394" s="19" t="s">
        <v>353</v>
      </c>
      <c r="J394" s="73"/>
    </row>
    <row r="395" spans="2:10" ht="15">
      <c r="B395" s="82"/>
      <c r="C395" s="82"/>
      <c r="D395" s="32" t="s">
        <v>208</v>
      </c>
      <c r="E395" s="22">
        <f>Assumptions!G18</f>
        <v>1700</v>
      </c>
      <c r="F395" s="82"/>
      <c r="G395" s="19" t="s">
        <v>355</v>
      </c>
      <c r="J395" s="73"/>
    </row>
    <row r="396" spans="2:10" ht="15">
      <c r="B396" s="82"/>
      <c r="C396" s="82"/>
      <c r="D396" s="32" t="s">
        <v>208</v>
      </c>
      <c r="E396" s="19">
        <f>IF(E393=0,0,Assumptions!$G$23)</f>
        <v>1.25</v>
      </c>
      <c r="F396" s="82"/>
      <c r="G396" s="19" t="s">
        <v>305</v>
      </c>
      <c r="J396" s="73"/>
    </row>
    <row r="397" spans="2:10" ht="15">
      <c r="B397" s="82"/>
      <c r="C397" s="82"/>
      <c r="D397" s="32" t="s">
        <v>209</v>
      </c>
      <c r="E397" s="22">
        <v>100</v>
      </c>
      <c r="F397" s="82"/>
      <c r="G397" s="19" t="s">
        <v>306</v>
      </c>
      <c r="J397" s="73"/>
    </row>
    <row r="398" spans="2:10" ht="15">
      <c r="B398" s="82"/>
      <c r="C398" s="82"/>
      <c r="D398" s="33" t="s">
        <v>209</v>
      </c>
      <c r="E398" s="30">
        <f>Assumptions!G5</f>
        <v>100</v>
      </c>
      <c r="F398" s="116"/>
      <c r="G398" s="24" t="s">
        <v>219</v>
      </c>
      <c r="H398" s="116"/>
      <c r="J398" s="73"/>
    </row>
    <row r="399" spans="2:10" ht="15">
      <c r="B399" s="82"/>
      <c r="D399" s="32" t="s">
        <v>211</v>
      </c>
      <c r="E399" s="60">
        <f>ROUND((((((E393-E394)*E395)*E396)/E397)/E398),2)</f>
        <v>0.1</v>
      </c>
      <c r="G399" s="19" t="s">
        <v>212</v>
      </c>
      <c r="J399" s="73"/>
    </row>
    <row r="400" spans="2:8" ht="15">
      <c r="B400" s="82"/>
      <c r="C400" s="82"/>
      <c r="E400" s="82"/>
      <c r="F400" s="82"/>
      <c r="H400" s="82"/>
    </row>
    <row r="401" spans="2:10" ht="15">
      <c r="B401" s="82"/>
      <c r="C401" s="82" t="s">
        <v>307</v>
      </c>
      <c r="E401" s="118">
        <f>Assumptions!$G$6*Assumptions!$G$13/100</f>
        <v>0.56</v>
      </c>
      <c r="F401" s="82"/>
      <c r="G401" s="19" t="s">
        <v>352</v>
      </c>
      <c r="J401" s="73"/>
    </row>
    <row r="402" spans="2:10" ht="15">
      <c r="B402" s="82"/>
      <c r="C402" s="82"/>
      <c r="D402" s="32" t="s">
        <v>281</v>
      </c>
      <c r="E402" s="118">
        <f>Assumptions!$G$6*Assumptions!$G$12/100</f>
        <v>0.07</v>
      </c>
      <c r="F402" s="82"/>
      <c r="G402" s="19" t="s">
        <v>353</v>
      </c>
      <c r="J402" s="73"/>
    </row>
    <row r="403" spans="2:10" ht="15">
      <c r="B403" s="82"/>
      <c r="C403" s="82"/>
      <c r="D403" s="32" t="s">
        <v>208</v>
      </c>
      <c r="E403" s="60">
        <f>IF(E401=0,0,Assumptions!$G$19)</f>
        <v>12</v>
      </c>
      <c r="F403" s="82"/>
      <c r="G403" s="19" t="s">
        <v>356</v>
      </c>
      <c r="H403" s="82"/>
      <c r="J403" s="73"/>
    </row>
    <row r="404" spans="2:10" ht="15">
      <c r="B404" s="82"/>
      <c r="C404" s="82"/>
      <c r="D404" s="33" t="s">
        <v>209</v>
      </c>
      <c r="E404" s="96">
        <f>Assumptions!G5</f>
        <v>100</v>
      </c>
      <c r="F404" s="116"/>
      <c r="G404" s="24" t="s">
        <v>219</v>
      </c>
      <c r="H404" s="116"/>
      <c r="J404" s="73"/>
    </row>
    <row r="405" spans="2:10" ht="15">
      <c r="B405" s="82"/>
      <c r="C405" s="82"/>
      <c r="D405" s="32" t="s">
        <v>211</v>
      </c>
      <c r="E405" s="60">
        <f>ROUND((((E401-E402)*E403)/E404),2)</f>
        <v>0.06</v>
      </c>
      <c r="F405" s="82"/>
      <c r="G405" s="19" t="s">
        <v>212</v>
      </c>
      <c r="H405" s="82"/>
      <c r="J405" s="73"/>
    </row>
    <row r="406" spans="2:8" ht="15">
      <c r="B406" s="82"/>
      <c r="C406" s="82"/>
      <c r="E406" s="82"/>
      <c r="F406" s="82"/>
      <c r="H406" s="82"/>
    </row>
    <row r="407" spans="2:10" ht="15">
      <c r="B407" s="82"/>
      <c r="C407" s="117" t="s">
        <v>357</v>
      </c>
      <c r="D407" s="60" t="s">
        <v>211</v>
      </c>
      <c r="E407" s="119">
        <f>E391+E405</f>
        <v>2.56</v>
      </c>
      <c r="F407" s="82"/>
      <c r="G407" s="19" t="s">
        <v>212</v>
      </c>
      <c r="H407" s="82"/>
      <c r="J407" s="73"/>
    </row>
    <row r="408" spans="2:8" ht="15">
      <c r="B408" s="82"/>
      <c r="C408" s="82"/>
      <c r="E408" s="82"/>
      <c r="F408" s="82"/>
      <c r="H408" s="82"/>
    </row>
    <row r="409" ht="15.75">
      <c r="B409" s="16" t="s">
        <v>315</v>
      </c>
    </row>
    <row r="410" spans="3:10" ht="15">
      <c r="C410" s="19" t="s">
        <v>299</v>
      </c>
      <c r="D410" s="104"/>
      <c r="E410" s="88">
        <f>Assumptions!$G$5*Assumptions!G14/100</f>
        <v>85</v>
      </c>
      <c r="G410" s="19" t="s">
        <v>309</v>
      </c>
      <c r="J410" s="73"/>
    </row>
    <row r="411" spans="4:10" ht="15">
      <c r="D411" s="32" t="s">
        <v>281</v>
      </c>
      <c r="E411" s="88">
        <f>ROUND((Assumptions!$G$5+Assumptions!$G$7)*Assumptions!$G$13/100,0)</f>
        <v>10</v>
      </c>
      <c r="G411" s="19" t="s">
        <v>310</v>
      </c>
      <c r="J411" s="73"/>
    </row>
    <row r="412" spans="4:10" ht="15">
      <c r="D412" s="32" t="s">
        <v>208</v>
      </c>
      <c r="E412" s="19">
        <f>Assumptions!G20</f>
        <v>150</v>
      </c>
      <c r="G412" s="19" t="s">
        <v>302</v>
      </c>
      <c r="J412" s="73"/>
    </row>
    <row r="413" spans="4:10" ht="15">
      <c r="D413" s="33" t="s">
        <v>209</v>
      </c>
      <c r="E413" s="96">
        <f>Assumptions!G5</f>
        <v>100</v>
      </c>
      <c r="F413" s="97"/>
      <c r="G413" s="24" t="s">
        <v>219</v>
      </c>
      <c r="H413" s="97"/>
      <c r="J413" s="73"/>
    </row>
    <row r="414" spans="4:10" ht="15">
      <c r="D414" s="32" t="s">
        <v>211</v>
      </c>
      <c r="E414" s="19">
        <f>ROUND((E410-E411)*E412/E413,2)</f>
        <v>112.5</v>
      </c>
      <c r="G414" s="19" t="s">
        <v>212</v>
      </c>
      <c r="J414" s="73"/>
    </row>
    <row r="416" spans="3:10" ht="15">
      <c r="C416" s="19" t="s">
        <v>303</v>
      </c>
      <c r="E416" s="88">
        <f>$E$410-$E$411</f>
        <v>75</v>
      </c>
      <c r="G416" s="19" t="s">
        <v>311</v>
      </c>
      <c r="J416" s="73"/>
    </row>
    <row r="417" spans="4:10" ht="15">
      <c r="D417" s="32" t="s">
        <v>281</v>
      </c>
      <c r="E417" s="120">
        <f>ROUND((Assumptions!$G$12/100)*$E$416,0)</f>
        <v>1</v>
      </c>
      <c r="G417" s="19" t="s">
        <v>301</v>
      </c>
      <c r="J417" s="73"/>
    </row>
    <row r="418" spans="4:10" ht="15">
      <c r="D418" s="32" t="s">
        <v>208</v>
      </c>
      <c r="E418" s="22">
        <f>Assumptions!G21</f>
        <v>500</v>
      </c>
      <c r="G418" s="19" t="s">
        <v>312</v>
      </c>
      <c r="J418" s="73"/>
    </row>
    <row r="419" spans="4:10" ht="15">
      <c r="D419" s="32" t="s">
        <v>208</v>
      </c>
      <c r="E419" s="19">
        <f>Assumptions!G23</f>
        <v>1.25</v>
      </c>
      <c r="G419" s="19" t="s">
        <v>305</v>
      </c>
      <c r="J419" s="73"/>
    </row>
    <row r="420" spans="4:10" ht="15">
      <c r="D420" s="32" t="s">
        <v>209</v>
      </c>
      <c r="E420" s="22">
        <v>100</v>
      </c>
      <c r="G420" s="19" t="s">
        <v>306</v>
      </c>
      <c r="J420" s="73"/>
    </row>
    <row r="421" spans="3:10" ht="15.75">
      <c r="C421" s="121"/>
      <c r="D421" s="33" t="s">
        <v>209</v>
      </c>
      <c r="E421" s="96">
        <f>Assumptions!$G$5</f>
        <v>100</v>
      </c>
      <c r="F421" s="97"/>
      <c r="G421" s="24" t="s">
        <v>219</v>
      </c>
      <c r="H421" s="97"/>
      <c r="J421" s="73"/>
    </row>
    <row r="422" spans="4:10" ht="15">
      <c r="D422" s="32" t="s">
        <v>211</v>
      </c>
      <c r="E422" s="60">
        <f>ROUND((((((E416-E417)*E418)*E419)/E420)/E421),2)</f>
        <v>4.63</v>
      </c>
      <c r="G422" s="19" t="s">
        <v>212</v>
      </c>
      <c r="J422" s="73"/>
    </row>
    <row r="424" spans="3:10" ht="15">
      <c r="C424" s="19" t="s">
        <v>307</v>
      </c>
      <c r="E424" s="88">
        <f>$E$410-$E$411</f>
        <v>75</v>
      </c>
      <c r="G424" s="19" t="s">
        <v>311</v>
      </c>
      <c r="J424" s="73"/>
    </row>
    <row r="425" spans="4:10" ht="15">
      <c r="D425" s="32" t="s">
        <v>281</v>
      </c>
      <c r="E425" s="120">
        <f>ROUND((Assumptions!$G$12/100)*$E$416,0)</f>
        <v>1</v>
      </c>
      <c r="G425" s="19" t="s">
        <v>301</v>
      </c>
      <c r="J425" s="73"/>
    </row>
    <row r="426" spans="4:10" ht="15">
      <c r="D426" s="32" t="s">
        <v>208</v>
      </c>
      <c r="E426" s="60">
        <f>Assumptions!G22</f>
        <v>5</v>
      </c>
      <c r="G426" s="19" t="s">
        <v>313</v>
      </c>
      <c r="J426" s="73"/>
    </row>
    <row r="427" spans="4:10" ht="15">
      <c r="D427" s="33" t="s">
        <v>209</v>
      </c>
      <c r="E427" s="96">
        <f>Assumptions!$G$5</f>
        <v>100</v>
      </c>
      <c r="F427" s="122"/>
      <c r="G427" s="24" t="s">
        <v>219</v>
      </c>
      <c r="H427" s="122"/>
      <c r="J427" s="73"/>
    </row>
    <row r="428" spans="4:10" ht="15">
      <c r="D428" s="32" t="s">
        <v>211</v>
      </c>
      <c r="E428" s="60">
        <f>ROUND((((E424-E425)*E426)/E427),2)</f>
        <v>3.7</v>
      </c>
      <c r="G428" s="19" t="s">
        <v>212</v>
      </c>
      <c r="H428" s="97"/>
      <c r="J428" s="73"/>
    </row>
    <row r="429" ht="15">
      <c r="D429" s="104"/>
    </row>
    <row r="430" spans="3:10" ht="15">
      <c r="C430" s="48" t="s">
        <v>317</v>
      </c>
      <c r="D430" s="32" t="s">
        <v>211</v>
      </c>
      <c r="E430" s="60">
        <f>E414-E422-E428</f>
        <v>104.17</v>
      </c>
      <c r="G430" s="19" t="s">
        <v>212</v>
      </c>
      <c r="J430" s="73"/>
    </row>
    <row r="431" spans="3:7" ht="15">
      <c r="C431" s="48"/>
      <c r="D431" s="32"/>
      <c r="G431" s="19"/>
    </row>
    <row r="432" spans="2:10" ht="15.75">
      <c r="B432" s="79"/>
      <c r="C432" s="47" t="s">
        <v>318</v>
      </c>
      <c r="D432" s="31" t="s">
        <v>211</v>
      </c>
      <c r="E432" s="79">
        <f>E384+E407+E430</f>
        <v>141.87</v>
      </c>
      <c r="F432" s="79"/>
      <c r="G432" s="16" t="s">
        <v>212</v>
      </c>
      <c r="H432" s="79"/>
      <c r="J432" s="73"/>
    </row>
    <row r="433" spans="2:10" ht="15.75">
      <c r="B433" s="79"/>
      <c r="C433" s="47"/>
      <c r="D433" s="31"/>
      <c r="E433" s="79"/>
      <c r="F433" s="79"/>
      <c r="G433" s="16"/>
      <c r="H433" s="79"/>
      <c r="J433" s="97"/>
    </row>
    <row r="436" ht="15.75">
      <c r="B436" s="79" t="s">
        <v>320</v>
      </c>
    </row>
    <row r="438" spans="2:10" ht="15" customHeight="1">
      <c r="B438" s="143" t="s">
        <v>332</v>
      </c>
      <c r="C438" s="143"/>
      <c r="D438" s="143"/>
      <c r="E438" s="143"/>
      <c r="F438" s="143"/>
      <c r="G438" s="143"/>
      <c r="H438" s="143"/>
      <c r="I438" s="143"/>
      <c r="J438" s="143"/>
    </row>
    <row r="439" spans="2:10" ht="15">
      <c r="B439" s="143"/>
      <c r="C439" s="143"/>
      <c r="D439" s="143"/>
      <c r="E439" s="143"/>
      <c r="F439" s="143"/>
      <c r="G439" s="143"/>
      <c r="H439" s="143"/>
      <c r="I439" s="143"/>
      <c r="J439" s="143"/>
    </row>
    <row r="440" spans="2:10" ht="15">
      <c r="B440" s="143"/>
      <c r="C440" s="143"/>
      <c r="D440" s="143"/>
      <c r="E440" s="143"/>
      <c r="F440" s="143"/>
      <c r="G440" s="143"/>
      <c r="H440" s="143"/>
      <c r="I440" s="143"/>
      <c r="J440" s="143"/>
    </row>
    <row r="441" spans="2:10" ht="15">
      <c r="B441" s="143"/>
      <c r="C441" s="143"/>
      <c r="D441" s="143"/>
      <c r="E441" s="143"/>
      <c r="F441" s="143"/>
      <c r="G441" s="143"/>
      <c r="H441" s="143"/>
      <c r="I441" s="143"/>
      <c r="J441" s="143"/>
    </row>
    <row r="442" ht="15">
      <c r="K442" s="82"/>
    </row>
    <row r="443" spans="2:11" ht="15" customHeight="1">
      <c r="B443" s="139" t="s">
        <v>372</v>
      </c>
      <c r="C443" s="139"/>
      <c r="D443" s="139"/>
      <c r="E443" s="139"/>
      <c r="F443" s="139"/>
      <c r="G443" s="139"/>
      <c r="H443" s="139"/>
      <c r="I443" s="139"/>
      <c r="J443" s="139"/>
      <c r="K443" s="82"/>
    </row>
    <row r="444" spans="2:11" ht="15">
      <c r="B444" s="139"/>
      <c r="C444" s="139"/>
      <c r="D444" s="139"/>
      <c r="E444" s="139"/>
      <c r="F444" s="139"/>
      <c r="G444" s="139"/>
      <c r="H444" s="139"/>
      <c r="I444" s="139"/>
      <c r="J444" s="139"/>
      <c r="K444" s="82"/>
    </row>
    <row r="445" ht="15">
      <c r="K445" s="82"/>
    </row>
    <row r="446" spans="2:11" ht="15.75">
      <c r="B446" s="79" t="s">
        <v>333</v>
      </c>
      <c r="K446" s="82"/>
    </row>
    <row r="447" spans="2:11" ht="15">
      <c r="B447" s="60" t="s">
        <v>328</v>
      </c>
      <c r="K447" s="82"/>
    </row>
    <row r="448" spans="2:11" ht="15">
      <c r="B448" s="60" t="s">
        <v>329</v>
      </c>
      <c r="K448" s="82"/>
    </row>
    <row r="449" ht="15">
      <c r="B449" s="60" t="s">
        <v>330</v>
      </c>
    </row>
    <row r="450" spans="2:11" ht="15">
      <c r="B450" s="60" t="s">
        <v>331</v>
      </c>
      <c r="K450" s="82"/>
    </row>
    <row r="451" ht="15">
      <c r="K451" s="82"/>
    </row>
    <row r="452" spans="2:11" ht="15.75">
      <c r="B452" s="79" t="s">
        <v>361</v>
      </c>
      <c r="K452" s="82"/>
    </row>
    <row r="453" ht="15">
      <c r="K453" s="82"/>
    </row>
    <row r="454" spans="2:11" ht="15">
      <c r="B454" s="60" t="s">
        <v>321</v>
      </c>
      <c r="K454" s="82"/>
    </row>
    <row r="455" spans="2:11" ht="15">
      <c r="B455" s="60" t="s">
        <v>322</v>
      </c>
      <c r="G455" s="60" t="s">
        <v>324</v>
      </c>
      <c r="K455" s="82"/>
    </row>
    <row r="456" spans="2:11" ht="15">
      <c r="B456" s="60" t="s">
        <v>323</v>
      </c>
      <c r="G456" s="60" t="s">
        <v>323</v>
      </c>
      <c r="K456" s="82"/>
    </row>
    <row r="457" ht="15">
      <c r="K457" s="82"/>
    </row>
    <row r="458" spans="2:7" ht="15">
      <c r="B458" s="60" t="s">
        <v>325</v>
      </c>
      <c r="G458" s="60" t="s">
        <v>326</v>
      </c>
    </row>
    <row r="459" spans="2:7" ht="15">
      <c r="B459" s="60" t="s">
        <v>323</v>
      </c>
      <c r="G459" s="60" t="s">
        <v>327</v>
      </c>
    </row>
    <row r="464" ht="15">
      <c r="K464" s="77" t="s">
        <v>10</v>
      </c>
    </row>
    <row r="466" ht="15">
      <c r="R466" s="88" t="s">
        <v>10</v>
      </c>
    </row>
    <row r="485" spans="5:8" ht="15">
      <c r="E485" s="123"/>
      <c r="F485" s="123"/>
      <c r="G485" s="123"/>
      <c r="H485" s="123"/>
    </row>
    <row r="491" spans="5:8" ht="15">
      <c r="E491" s="123"/>
      <c r="F491" s="88"/>
      <c r="H491" s="88"/>
    </row>
    <row r="492" spans="31:36" ht="15">
      <c r="AE492" s="88"/>
      <c r="AI492" s="88"/>
      <c r="AJ492" s="88"/>
    </row>
    <row r="493" spans="31:36" ht="15">
      <c r="AE493" s="88"/>
      <c r="AI493" s="88"/>
      <c r="AJ493" s="88"/>
    </row>
    <row r="494" spans="31:36" ht="15">
      <c r="AE494" s="88"/>
      <c r="AI494" s="88"/>
      <c r="AJ494" s="88"/>
    </row>
    <row r="495" spans="31:36" ht="15">
      <c r="AE495" s="88"/>
      <c r="AI495" s="88"/>
      <c r="AJ495" s="88"/>
    </row>
    <row r="496" spans="31:36" ht="15">
      <c r="AE496" s="88"/>
      <c r="AI496" s="88"/>
      <c r="AJ496" s="88"/>
    </row>
    <row r="497" spans="31:36" ht="15">
      <c r="AE497" s="88"/>
      <c r="AI497" s="88"/>
      <c r="AJ497" s="88"/>
    </row>
    <row r="498" spans="5:36" ht="15">
      <c r="E498" s="123"/>
      <c r="F498" s="123"/>
      <c r="G498" s="123"/>
      <c r="H498" s="123"/>
      <c r="AI498" s="88"/>
      <c r="AJ498" s="88"/>
    </row>
    <row r="499" spans="31:36" ht="15">
      <c r="AE499" s="88"/>
      <c r="AI499" s="88"/>
      <c r="AJ499" s="88"/>
    </row>
    <row r="501" spans="4:9" ht="15.75">
      <c r="D501" s="121"/>
      <c r="E501" s="121"/>
      <c r="F501" s="124"/>
      <c r="G501" s="121"/>
      <c r="H501" s="121"/>
      <c r="I501" s="121"/>
    </row>
    <row r="504" spans="31:35" ht="15">
      <c r="AE504" s="88"/>
      <c r="AI504" s="88"/>
    </row>
    <row r="505" spans="31:35" ht="15">
      <c r="AE505" s="88"/>
      <c r="AI505" s="88"/>
    </row>
    <row r="506" spans="31:35" ht="15">
      <c r="AE506" s="88"/>
      <c r="AI506" s="88"/>
    </row>
    <row r="507" spans="31:35" ht="15">
      <c r="AE507" s="88"/>
      <c r="AI507" s="88"/>
    </row>
    <row r="508" spans="31:35" ht="15">
      <c r="AE508" s="88"/>
      <c r="AI508" s="88"/>
    </row>
    <row r="509" spans="31:35" ht="15">
      <c r="AE509" s="88"/>
      <c r="AI509" s="88"/>
    </row>
    <row r="510" ht="15">
      <c r="AI510" s="88"/>
    </row>
    <row r="511" spans="31:35" ht="15">
      <c r="AE511" s="88"/>
      <c r="AI511" s="88"/>
    </row>
    <row r="512" ht="15">
      <c r="AI512" s="88"/>
    </row>
    <row r="513" spans="31:35" ht="15">
      <c r="AE513" s="88"/>
      <c r="AI513" s="88"/>
    </row>
    <row r="516" spans="31:35" ht="15">
      <c r="AE516" s="88"/>
      <c r="AI516" s="88"/>
    </row>
    <row r="517" spans="31:35" ht="15">
      <c r="AE517" s="88"/>
      <c r="AI517" s="88"/>
    </row>
    <row r="518" spans="31:35" ht="15">
      <c r="AE518" s="88"/>
      <c r="AI518" s="88"/>
    </row>
    <row r="519" spans="31:35" ht="15">
      <c r="AE519" s="88"/>
      <c r="AI519" s="88"/>
    </row>
    <row r="520" spans="31:35" ht="15">
      <c r="AE520" s="88"/>
      <c r="AI520" s="88"/>
    </row>
    <row r="521" spans="31:35" ht="15">
      <c r="AE521" s="88"/>
      <c r="AI521" s="88"/>
    </row>
    <row r="522" spans="31:35" ht="15">
      <c r="AE522" s="88"/>
      <c r="AI522" s="88"/>
    </row>
    <row r="523" spans="31:35" ht="15">
      <c r="AE523" s="88"/>
      <c r="AI523" s="88"/>
    </row>
    <row r="524" spans="31:35" ht="15">
      <c r="AE524" s="88"/>
      <c r="AI524" s="88"/>
    </row>
    <row r="525" ht="15">
      <c r="C525" s="82"/>
    </row>
    <row r="526" ht="15">
      <c r="C526" s="82"/>
    </row>
    <row r="527" ht="15">
      <c r="C527" s="82"/>
    </row>
    <row r="528" ht="15">
      <c r="C528" s="82"/>
    </row>
    <row r="529" ht="15">
      <c r="C529" s="82"/>
    </row>
    <row r="530" ht="15">
      <c r="C530" s="82"/>
    </row>
    <row r="531" ht="15">
      <c r="C531" s="82"/>
    </row>
    <row r="532" ht="15">
      <c r="C532" s="82"/>
    </row>
    <row r="533" ht="15">
      <c r="C533" s="82"/>
    </row>
    <row r="534" ht="15">
      <c r="C534" s="82"/>
    </row>
    <row r="535" ht="15">
      <c r="C535" s="82"/>
    </row>
    <row r="536" ht="15">
      <c r="C536" s="82"/>
    </row>
    <row r="537" ht="15">
      <c r="C537" s="82"/>
    </row>
    <row r="538" ht="15">
      <c r="C538" s="82"/>
    </row>
    <row r="540" ht="15">
      <c r="C540" s="82"/>
    </row>
    <row r="542" ht="15">
      <c r="C542" s="82"/>
    </row>
    <row r="544" ht="15">
      <c r="C544" s="82"/>
    </row>
    <row r="546" ht="15">
      <c r="C546" s="82"/>
    </row>
    <row r="550" ht="15">
      <c r="C550" s="82"/>
    </row>
    <row r="552" ht="15">
      <c r="C552" s="82"/>
    </row>
    <row r="553" ht="15">
      <c r="C553" s="82"/>
    </row>
    <row r="554" ht="15">
      <c r="C554" s="82"/>
    </row>
    <row r="555" ht="15">
      <c r="C555" s="82"/>
    </row>
    <row r="556" ht="15">
      <c r="C556" s="82"/>
    </row>
    <row r="557" ht="15">
      <c r="C557" s="82"/>
    </row>
    <row r="560" ht="15">
      <c r="C560" s="82"/>
    </row>
    <row r="562" ht="15">
      <c r="C562" s="82"/>
    </row>
    <row r="563" spans="3:10" ht="15">
      <c r="C563" s="82"/>
      <c r="J563" s="88" t="s">
        <v>10</v>
      </c>
    </row>
    <row r="565" ht="15">
      <c r="C565" s="82"/>
    </row>
    <row r="566" ht="15">
      <c r="C566" s="82"/>
    </row>
    <row r="567" ht="15">
      <c r="C567" s="82"/>
    </row>
    <row r="568" ht="15">
      <c r="H568" s="88" t="s">
        <v>10</v>
      </c>
    </row>
    <row r="901" ht="15">
      <c r="B901" s="60" t="s">
        <v>10</v>
      </c>
    </row>
    <row r="902" ht="15">
      <c r="B902" s="60" t="s">
        <v>10</v>
      </c>
    </row>
  </sheetData>
  <sheetProtection password="C7C6" sheet="1" objects="1" scenarios="1"/>
  <mergeCells count="5">
    <mergeCell ref="B443:J444"/>
    <mergeCell ref="C299:F299"/>
    <mergeCell ref="B3:J3"/>
    <mergeCell ref="B266:J266"/>
    <mergeCell ref="B438:J441"/>
  </mergeCells>
  <printOptions horizontalCentered="1"/>
  <pageMargins left="0.75" right="0.75" top="1" bottom="1" header="0.5" footer="0.5"/>
  <pageSetup firstPageNumber="5" useFirstPageNumber="1" horizontalDpi="300" verticalDpi="300" orientation="portrait" paperSize="42" scale="96" r:id="rId1"/>
  <headerFooter alignWithMargins="0">
    <oddHeader>&amp;LGuidelines: Equine Ranching&amp;R&amp;P</oddHeader>
    <oddFooter xml:space="preserve">&amp;RManitoba Agriculture and Food
&amp;"Arial,Italic"Farm Management&amp;"Arial,Regular" </oddFooter>
  </headerFooter>
  <rowBreaks count="12" manualBreakCount="12">
    <brk id="39" max="9" man="1"/>
    <brk id="76" max="9" man="1"/>
    <brk id="113" max="9" man="1"/>
    <brk id="155" max="9" man="1"/>
    <brk id="188" max="9" man="1"/>
    <brk id="227" max="9" man="1"/>
    <brk id="263" max="9" man="1"/>
    <brk id="305" max="9" man="1"/>
    <brk id="346" max="9" man="1"/>
    <brk id="385" max="9" man="1"/>
    <brk id="422" max="9" man="1"/>
    <brk id="48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Peter Blawat, P.Ag.</Manager>
  <Company>Manitoba Agriculture and Food (MAF)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Guidelines for Equine Ranching Costs (PMU)</dc:title>
  <dc:subject>Equine PMU Costs</dc:subject>
  <dc:creator>MAF Staff</dc:creator>
  <cp:keywords>Equine, Horse, PMU, Cost of Production, Economics</cp:keywords>
  <dc:description>A worksheet for calculating on-farm production costs on individual farms.</dc:description>
  <cp:lastModifiedBy>JGessner</cp:lastModifiedBy>
  <cp:lastPrinted>2002-10-16T14:50:32Z</cp:lastPrinted>
  <dcterms:created xsi:type="dcterms:W3CDTF">2002-07-02T16:38:22Z</dcterms:created>
  <dcterms:modified xsi:type="dcterms:W3CDTF">2008-07-11T13:33:22Z</dcterms:modified>
  <cp:category>Equine PMU Costs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