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70" yWindow="1275" windowWidth="8970" windowHeight="4575" tabRatio="806" activeTab="0"/>
  </bookViews>
  <sheets>
    <sheet name="Introduction" sheetId="1" r:id="rId1"/>
    <sheet name="Input" sheetId="2" r:id="rId2"/>
    <sheet name="Summary" sheetId="3" r:id="rId3"/>
    <sheet name="Details" sheetId="4" r:id="rId4"/>
    <sheet name="Breakeven" sheetId="5" r:id="rId5"/>
    <sheet name="Phase 1 Bldg" sheetId="6" r:id="rId6"/>
    <sheet name="Phase 2 Bldg" sheetId="7" r:id="rId7"/>
    <sheet name="Phase 3 Bldg" sheetId="8" r:id="rId8"/>
  </sheets>
  <definedNames>
    <definedName name="\A">$J$198:$J$198</definedName>
    <definedName name="\C">$J$208:$J$208</definedName>
    <definedName name="\D">$J$196:$J$196</definedName>
    <definedName name="\H">$J$190:$J$190</definedName>
    <definedName name="\I">$J$192:$J$192</definedName>
    <definedName name="\K">$J$200:$J$200</definedName>
    <definedName name="\N">$J$210:$J$210</definedName>
    <definedName name="\P">$J$164:$J$164</definedName>
    <definedName name="\S">$J$194:$J$194</definedName>
    <definedName name="\W">$J$202:$J$202</definedName>
    <definedName name="\X">$J$213:$J$213</definedName>
    <definedName name="ALL">$J$174:$J$174</definedName>
    <definedName name="_xlnm.Print_Area" localSheetId="3">'Details'!$A$1:$M$277</definedName>
    <definedName name="_xlnm.Print_Area" localSheetId="0">'Introduction'!$A$1:$I$44</definedName>
    <definedName name="_xlnm.Print_Area" localSheetId="5">'Phase 1 Bldg'!$A$1:$J$42</definedName>
    <definedName name="_xlnm.Print_Area" localSheetId="6">'Phase 2 Bldg'!$A$1:$J$42</definedName>
    <definedName name="_xlnm.Print_Area" localSheetId="7">'Phase 3 Bldg'!$A$1:$J$42</definedName>
    <definedName name="_xlnm.Print_Area" localSheetId="2">'Summary'!$A$1:$J$55</definedName>
  </definedNames>
  <calcPr fullCalcOnLoad="1"/>
</workbook>
</file>

<file path=xl/comments2.xml><?xml version="1.0" encoding="utf-8"?>
<comments xmlns="http://schemas.openxmlformats.org/spreadsheetml/2006/main">
  <authors>
    <author>Government of Manitoba</author>
  </authors>
  <commentList>
    <comment ref="A39" authorId="0">
      <text>
        <r>
          <rPr>
            <sz val="8"/>
            <rFont val="Tahoma"/>
            <family val="0"/>
          </rPr>
          <t xml:space="preserve">Protein source may be a row product such as canola meal, or soybean meal.
</t>
        </r>
      </text>
    </comment>
  </commentList>
</comments>
</file>

<file path=xl/sharedStrings.xml><?xml version="1.0" encoding="utf-8"?>
<sst xmlns="http://schemas.openxmlformats.org/spreadsheetml/2006/main" count="681" uniqueCount="341">
  <si>
    <t/>
  </si>
  <si>
    <t xml:space="preserve">   3.  All feed is purchased.</t>
  </si>
  <si>
    <t xml:space="preserve">  head</t>
  </si>
  <si>
    <t xml:space="preserve">  %</t>
  </si>
  <si>
    <t xml:space="preserve">  lbs</t>
  </si>
  <si>
    <t xml:space="preserve">  lbs/day</t>
  </si>
  <si>
    <t>-</t>
  </si>
  <si>
    <t xml:space="preserve">  days</t>
  </si>
  <si>
    <t xml:space="preserve">  Feeder Purchase Costs</t>
  </si>
  <si>
    <t xml:space="preserve">     lbs/day</t>
  </si>
  <si>
    <t xml:space="preserve">     Fuel Costs</t>
  </si>
  <si>
    <t xml:space="preserve">     Annual Cost for Removal</t>
  </si>
  <si>
    <t xml:space="preserve">     Additional Coverage for Liability</t>
  </si>
  <si>
    <t xml:space="preserve">     Total yearly expense relating to barn</t>
  </si>
  <si>
    <t xml:space="preserve">  Machinery &amp; Equipment</t>
  </si>
  <si>
    <t xml:space="preserve">  Total Investment</t>
  </si>
  <si>
    <t xml:space="preserve">    Total Feed Costs</t>
  </si>
  <si>
    <t xml:space="preserve">    2.01  Feeder Cost</t>
  </si>
  <si>
    <t xml:space="preserve">    2.02  Straw</t>
  </si>
  <si>
    <t xml:space="preserve">    2.03  Veterinary Medicine &amp; Supplies</t>
  </si>
  <si>
    <t xml:space="preserve">    2.04  Annual Fuel &amp; Repair Costs</t>
  </si>
  <si>
    <t xml:space="preserve">    2.05  Utilities</t>
  </si>
  <si>
    <t xml:space="preserve">    2.06  Feeder Selling Cost</t>
  </si>
  <si>
    <t xml:space="preserve">    2.07  Insurance</t>
  </si>
  <si>
    <t xml:space="preserve">    2.08  Manure Removal</t>
  </si>
  <si>
    <t xml:space="preserve">    2.09  Barn &amp; Office Supplies</t>
  </si>
  <si>
    <t xml:space="preserve">    2.10  Death Loss</t>
  </si>
  <si>
    <t xml:space="preserve">    2.11  Operating Interest</t>
  </si>
  <si>
    <t>3.  Depreciation</t>
  </si>
  <si>
    <t xml:space="preserve">    3.01  Buildings</t>
  </si>
  <si>
    <t xml:space="preserve">    3.02  Machinery &amp; Equipment</t>
  </si>
  <si>
    <t>4.  Investment</t>
  </si>
  <si>
    <t>Operating &amp; Fixed</t>
  </si>
  <si>
    <t>Operating Costs</t>
  </si>
  <si>
    <t>Total Costs</t>
  </si>
  <si>
    <t>x</t>
  </si>
  <si>
    <t>=</t>
  </si>
  <si>
    <t>/feeder</t>
  </si>
  <si>
    <t>/ton</t>
  </si>
  <si>
    <t>Commission</t>
  </si>
  <si>
    <t>Trucking-in</t>
  </si>
  <si>
    <t>lbs/feeder</t>
  </si>
  <si>
    <t>÷</t>
  </si>
  <si>
    <t>lbs/cwt</t>
  </si>
  <si>
    <t>Feeder</t>
  </si>
  <si>
    <t>Total</t>
  </si>
  <si>
    <t>days on feed</t>
  </si>
  <si>
    <t>Cattle Medication</t>
  </si>
  <si>
    <t>+</t>
  </si>
  <si>
    <t xml:space="preserve">/feeder </t>
  </si>
  <si>
    <t>hours</t>
  </si>
  <si>
    <t>trucking cost/cwt</t>
  </si>
  <si>
    <t>commission</t>
  </si>
  <si>
    <t>insurance</t>
  </si>
  <si>
    <t>annual removal cost</t>
  </si>
  <si>
    <t>total barn expenses</t>
  </si>
  <si>
    <t>feeder cost</t>
  </si>
  <si>
    <t>½ of feed &amp; other costs</t>
  </si>
  <si>
    <t>years useful life</t>
  </si>
  <si>
    <t>average</t>
  </si>
  <si>
    <t>/hour</t>
  </si>
  <si>
    <t>B.  Fixed Costs</t>
  </si>
  <si>
    <t>2.  Other Operating Costs</t>
  </si>
  <si>
    <t>1.  Feed Costs</t>
  </si>
  <si>
    <t>A.  Operating Costs</t>
  </si>
  <si>
    <t>Your Cost</t>
  </si>
  <si>
    <t>Cost/Head</t>
  </si>
  <si>
    <t xml:space="preserve">    Total Operating Costs</t>
  </si>
  <si>
    <t xml:space="preserve">    Total Fixed Costs</t>
  </si>
  <si>
    <t>Total Operating and Fixed Costs</t>
  </si>
  <si>
    <t>Total Cost of Production</t>
  </si>
  <si>
    <t xml:space="preserve">   Assumptions</t>
  </si>
  <si>
    <t>Requirement</t>
  </si>
  <si>
    <t xml:space="preserve">  Veterinary Medicine &amp; Supplies</t>
  </si>
  <si>
    <t xml:space="preserve">   Cattle Medication</t>
  </si>
  <si>
    <t xml:space="preserve">   Annual Fuel &amp; Repair Costs</t>
  </si>
  <si>
    <t xml:space="preserve">  Utilities</t>
  </si>
  <si>
    <t xml:space="preserve">  Trucking Cost</t>
  </si>
  <si>
    <t xml:space="preserve">  Marketing Cost</t>
  </si>
  <si>
    <t xml:space="preserve">  Manure Removal</t>
  </si>
  <si>
    <t xml:space="preserve">  Insurance</t>
  </si>
  <si>
    <t xml:space="preserve">     Cost per $100 Capital Invested in</t>
  </si>
  <si>
    <t xml:space="preserve">  Barn &amp; Office Supplies</t>
  </si>
  <si>
    <t>Useful</t>
  </si>
  <si>
    <t>Life</t>
  </si>
  <si>
    <t>Salvage</t>
  </si>
  <si>
    <t>Value</t>
  </si>
  <si>
    <t>Original</t>
  </si>
  <si>
    <t>Breakeven Calculations</t>
  </si>
  <si>
    <t>feed cost</t>
  </si>
  <si>
    <t>Feed Costs</t>
  </si>
  <si>
    <t>/lb (gain sold)</t>
  </si>
  <si>
    <t>operating costs</t>
  </si>
  <si>
    <t xml:space="preserve">    Cost per lb of gain sold (shrunk weight)</t>
  </si>
  <si>
    <t>operating  &amp; fixed costs</t>
  </si>
  <si>
    <t xml:space="preserve">    Breakeven selling price (shrunk weight)</t>
  </si>
  <si>
    <t>lbs shrunk weight</t>
  </si>
  <si>
    <t xml:space="preserve">/lb </t>
  </si>
  <si>
    <t>Cost per lb of gain sold</t>
  </si>
  <si>
    <t xml:space="preserve">     Operating Costs</t>
  </si>
  <si>
    <t xml:space="preserve">     Operating &amp; Fixed Costs</t>
  </si>
  <si>
    <t>Breakeven Selling Price</t>
  </si>
  <si>
    <t>Prepared by:</t>
  </si>
  <si>
    <t xml:space="preserve">Farm Management </t>
  </si>
  <si>
    <t>Livestock Specialist</t>
  </si>
  <si>
    <t>Assumptions</t>
  </si>
  <si>
    <t>repairs</t>
  </si>
  <si>
    <t>fuel costs</t>
  </si>
  <si>
    <t>cost/year</t>
  </si>
  <si>
    <t xml:space="preserve">/$100 </t>
  </si>
  <si>
    <t>days /year</t>
  </si>
  <si>
    <t>Original Cost - Salvage Value</t>
  </si>
  <si>
    <t>Useful Life</t>
  </si>
  <si>
    <t>original cost</t>
  </si>
  <si>
    <t xml:space="preserve">original cost </t>
  </si>
  <si>
    <t xml:space="preserve">Days on </t>
  </si>
  <si>
    <t>Feed</t>
  </si>
  <si>
    <t xml:space="preserve">     Feed Costs</t>
  </si>
  <si>
    <t>Capital Costs</t>
  </si>
  <si>
    <t xml:space="preserve">   1.  This budget outlines the cost of production for backgrounding cattle.</t>
  </si>
  <si>
    <t xml:space="preserve">   2.  Buildings and equipment are valued at new cost.</t>
  </si>
  <si>
    <t xml:space="preserve">  /cwt</t>
  </si>
  <si>
    <t>lbs/day</t>
  </si>
  <si>
    <t>Other Operating Costs</t>
  </si>
  <si>
    <t xml:space="preserve">       a) Livestock</t>
  </si>
  <si>
    <t xml:space="preserve">       b) Building &amp; Equipment</t>
  </si>
  <si>
    <t>%</t>
  </si>
  <si>
    <t xml:space="preserve">  Operating Interest Rate</t>
  </si>
  <si>
    <t xml:space="preserve">  Investment Interest Rate</t>
  </si>
  <si>
    <t>years</t>
  </si>
  <si>
    <t xml:space="preserve">  Labour Rate</t>
  </si>
  <si>
    <t>Labour Costs</t>
  </si>
  <si>
    <t xml:space="preserve">For more information contact your local Manitoba Agriculture and Food Office. </t>
  </si>
  <si>
    <t>2.03 Veterinary Medicine &amp; Supplies</t>
  </si>
  <si>
    <t>2.04  Annual Fuel &amp; Repair Costs</t>
  </si>
  <si>
    <t>2.05  Utilities</t>
  </si>
  <si>
    <t>2.06  Feeder Selling Cost</t>
  </si>
  <si>
    <t>Trucking</t>
  </si>
  <si>
    <t>Selling Commission</t>
  </si>
  <si>
    <t>2.07  Insurance</t>
  </si>
  <si>
    <t>2.08  Manure Removal</t>
  </si>
  <si>
    <t>2.09  Barn &amp; Office Supplies</t>
  </si>
  <si>
    <t>2.10  Death Loss</t>
  </si>
  <si>
    <t>2.11  Operating Interest</t>
  </si>
  <si>
    <t>(Operating interest is charged on one half the subtotal operating costs)</t>
  </si>
  <si>
    <t>3.01  Buildings</t>
  </si>
  <si>
    <t>3.02  Machinery &amp; Equipment</t>
  </si>
  <si>
    <t>/cwt</t>
  </si>
  <si>
    <t>/$100 capital</t>
  </si>
  <si>
    <t>additional coverage for liability</t>
  </si>
  <si>
    <r>
      <t>Original Cost + Salvage Value</t>
    </r>
    <r>
      <rPr>
        <b/>
        <sz val="12"/>
        <rFont val="Arial"/>
        <family val="2"/>
      </rPr>
      <t xml:space="preserve">  x  Investment Rate</t>
    </r>
  </si>
  <si>
    <t>building &amp; equipment investment</t>
  </si>
  <si>
    <t>lbs gained weight</t>
  </si>
  <si>
    <t>/head</t>
  </si>
  <si>
    <t xml:space="preserve">     Buying Commission</t>
  </si>
  <si>
    <t xml:space="preserve">     Trucking-in </t>
  </si>
  <si>
    <t xml:space="preserve">     Repairs (Machinery, Equipment &amp; Facilities)</t>
  </si>
  <si>
    <t xml:space="preserve">     Average Weight</t>
  </si>
  <si>
    <t xml:space="preserve">     Trucking Cost</t>
  </si>
  <si>
    <t xml:space="preserve">     Commission on Sales</t>
  </si>
  <si>
    <t xml:space="preserve">     Market Value </t>
  </si>
  <si>
    <t xml:space="preserve">     Insurance fee </t>
  </si>
  <si>
    <t>/year</t>
  </si>
  <si>
    <t>Subtotal Operating Costs</t>
  </si>
  <si>
    <t xml:space="preserve">  Straw Bedding</t>
  </si>
  <si>
    <t xml:space="preserve">     cost</t>
  </si>
  <si>
    <t>/$100</t>
  </si>
  <si>
    <t>% operating interest</t>
  </si>
  <si>
    <t>% investment rate</t>
  </si>
  <si>
    <t>Feedlot Specialist</t>
  </si>
  <si>
    <t xml:space="preserve">     Telephone, Hydro etc.</t>
  </si>
  <si>
    <t>Total Cost</t>
  </si>
  <si>
    <t>C.  Labour</t>
  </si>
  <si>
    <t>C. Labour</t>
  </si>
  <si>
    <t xml:space="preserve">                Dairy Steer Calf Rearing Production Costs</t>
  </si>
  <si>
    <t>/20 kg bag</t>
  </si>
  <si>
    <t>1.01  Milk Replacer</t>
  </si>
  <si>
    <t>days on milk replacer</t>
  </si>
  <si>
    <t xml:space="preserve">$/lb </t>
  </si>
  <si>
    <t>/25 kg</t>
  </si>
  <si>
    <t>1.02  Calf Starter</t>
  </si>
  <si>
    <t>days on calf starter</t>
  </si>
  <si>
    <t>$/lb</t>
  </si>
  <si>
    <t>Hay</t>
  </si>
  <si>
    <t xml:space="preserve">    1.01  Milk Replacer</t>
  </si>
  <si>
    <t xml:space="preserve">    1.02  Calf Starter</t>
  </si>
  <si>
    <t>Cost/head</t>
  </si>
  <si>
    <t>Market Price</t>
  </si>
  <si>
    <t>Peter Blawat P.Ag.</t>
  </si>
  <si>
    <t>Fred Hardy P.Ag.</t>
  </si>
  <si>
    <t>Dairy Specialist</t>
  </si>
  <si>
    <t>Michael Buchen P.Ag.</t>
  </si>
  <si>
    <t>Earl Hjelte P.Ag.</t>
  </si>
  <si>
    <t>Scott Atkins P.Ag.</t>
  </si>
  <si>
    <t>Number of calves purchased</t>
  </si>
  <si>
    <t>Feeder calf mortality rate</t>
  </si>
  <si>
    <t>Feeder calf purchased weight</t>
  </si>
  <si>
    <t xml:space="preserve">Feeder calf selling price </t>
  </si>
  <si>
    <t>Group Profile</t>
  </si>
  <si>
    <t>Days on feed pre weaning</t>
  </si>
  <si>
    <t>Days on feed post weaning</t>
  </si>
  <si>
    <t>lbs</t>
  </si>
  <si>
    <t>Barley</t>
  </si>
  <si>
    <t>/bushel</t>
  </si>
  <si>
    <t xml:space="preserve">    1.03  Barley</t>
  </si>
  <si>
    <t xml:space="preserve">    1.05  Hay</t>
  </si>
  <si>
    <t>1.03  Barley</t>
  </si>
  <si>
    <t>1.05  Hay</t>
  </si>
  <si>
    <t xml:space="preserve"> Footnote:  1 kilogram (kg) = 2.2046 pounds (lbs)</t>
  </si>
  <si>
    <t>Pre weaning</t>
  </si>
  <si>
    <t>Milk replacer</t>
  </si>
  <si>
    <t>Post weaning</t>
  </si>
  <si>
    <t>Feed Requirements and Costs</t>
  </si>
  <si>
    <t>Feeder Calf</t>
  </si>
  <si>
    <t xml:space="preserve">     Feeder calf purchase price $/cwt)</t>
  </si>
  <si>
    <t>lbs/head/day</t>
  </si>
  <si>
    <t>/lb</t>
  </si>
  <si>
    <t>Original Value + Salvage Value</t>
  </si>
  <si>
    <t>x Investment Rate</t>
  </si>
  <si>
    <t>feeders</t>
  </si>
  <si>
    <t>Post weaning target weight</t>
  </si>
  <si>
    <t>Market</t>
  </si>
  <si>
    <t>Price</t>
  </si>
  <si>
    <t>Average daily gain (pre weaning)</t>
  </si>
  <si>
    <t>Average daily gain (post weaning)</t>
  </si>
  <si>
    <t>Amount Fed</t>
  </si>
  <si>
    <t>total costs</t>
  </si>
  <si>
    <t>operating &amp; fixed costs</t>
  </si>
  <si>
    <t>ton</t>
  </si>
  <si>
    <t xml:space="preserve">Milk replacer </t>
  </si>
  <si>
    <t xml:space="preserve">Calf starter </t>
  </si>
  <si>
    <t xml:space="preserve">Barley </t>
  </si>
  <si>
    <t xml:space="preserve">Hay </t>
  </si>
  <si>
    <t>kg</t>
  </si>
  <si>
    <t xml:space="preserve">Pre weaning mortality </t>
  </si>
  <si>
    <t>Post weaning mortality</t>
  </si>
  <si>
    <r>
      <t xml:space="preserve">        </t>
    </r>
    <r>
      <rPr>
        <b/>
        <u val="single"/>
        <sz val="12"/>
        <color indexed="18"/>
        <rFont val="Arial"/>
        <family val="2"/>
      </rPr>
      <t>$/lb</t>
    </r>
    <r>
      <rPr>
        <b/>
        <sz val="12"/>
        <color indexed="18"/>
        <rFont val="Arial"/>
        <family val="2"/>
      </rPr>
      <t xml:space="preserve"> </t>
    </r>
  </si>
  <si>
    <t>Amount</t>
  </si>
  <si>
    <t>1.04  Protein Source</t>
  </si>
  <si>
    <t>days (130 to 530 lbs)</t>
  </si>
  <si>
    <t>lbs/day (averaged)</t>
  </si>
  <si>
    <t>1.06  Vit/Min Premix with Ionophore</t>
  </si>
  <si>
    <t>days (rearing period)</t>
  </si>
  <si>
    <t>feeder purchase</t>
  </si>
  <si>
    <t>total input costs</t>
  </si>
  <si>
    <t>salvage value 10%</t>
  </si>
  <si>
    <t>salvage value 20%</t>
  </si>
  <si>
    <t>hours/feeder</t>
  </si>
  <si>
    <t xml:space="preserve">  Hours/Head</t>
  </si>
  <si>
    <t>Percent shrink on feeder calf</t>
  </si>
  <si>
    <t>Feeder calf purchase price ($/cwt)</t>
  </si>
  <si>
    <t>Weaned calf target weight</t>
  </si>
  <si>
    <t>Percent shrink post weaning target weight</t>
  </si>
  <si>
    <t>pre weaning % mortality</t>
  </si>
  <si>
    <t>post weaning % mortality</t>
  </si>
  <si>
    <t>total days on feed</t>
  </si>
  <si>
    <t>/feeder pre weaning</t>
  </si>
  <si>
    <t xml:space="preserve">Total </t>
  </si>
  <si>
    <t>Pre weaning mortality</t>
  </si>
  <si>
    <t>exclude selling costs &amp; death loss</t>
  </si>
  <si>
    <t xml:space="preserve">½ of feed </t>
  </si>
  <si>
    <t>½ other (excluding selling &amp; death loss)</t>
  </si>
  <si>
    <t>Feed Requirements, Costs &amp; Days on Feed</t>
  </si>
  <si>
    <t>Cow Calf Specialist</t>
  </si>
  <si>
    <t>Lyle McNichol P.Ag.</t>
  </si>
  <si>
    <t xml:space="preserve">Dairy Specialist </t>
  </si>
  <si>
    <t>Melinda German P.Ag.</t>
  </si>
  <si>
    <t>bu.</t>
  </si>
  <si>
    <t xml:space="preserve">    1.04  Protein </t>
  </si>
  <si>
    <t>2.01  Feeder Purchase</t>
  </si>
  <si>
    <t>2.02 Straw Bedding</t>
  </si>
  <si>
    <t>Percent shrink on post weaning target weight</t>
  </si>
  <si>
    <t>Vit/min premix with ionophore*</t>
  </si>
  <si>
    <t>Vit/Min Premix with Ionophore*</t>
  </si>
  <si>
    <t>Disclaimer: Economics and animal performance will vary among farms due to environment, management , nutrition, health, sanitation and biosecurity differences. Therefore, Manitoba Agriculture and Food (MAF) is not responsible for individual farm results that may differ from those assumed in this budget.</t>
  </si>
  <si>
    <r>
      <t xml:space="preserve">Calf starter </t>
    </r>
    <r>
      <rPr>
        <sz val="10"/>
        <rFont val="Arial"/>
        <family val="2"/>
      </rPr>
      <t>(with coccidiostat)</t>
    </r>
  </si>
  <si>
    <t xml:space="preserve">* Caution: Premixes are intended to be mixed according to "product label directions" with other feeds (ie. grains; silages) prior to being fed to animals. It is assumed that a commercial vit/min premix, with ionophore, is mixed with other feeds and that the total quantity required up to 530 lbs body weight averaged 0.2 lbs/head/day. This will vary from one commercial product to another.  </t>
  </si>
  <si>
    <t xml:space="preserve">    1.06  Vit/Min Premix with Ionophore</t>
  </si>
  <si>
    <t xml:space="preserve">  Dairy Steer Facilities</t>
  </si>
  <si>
    <t>Land Cost</t>
  </si>
  <si>
    <t>/feeder post weaning</t>
  </si>
  <si>
    <t>buildings</t>
  </si>
  <si>
    <t>land</t>
  </si>
  <si>
    <t>Land &amp; Site Preparation Cost</t>
  </si>
  <si>
    <t xml:space="preserve">     Total Costs (including labour)</t>
  </si>
  <si>
    <t xml:space="preserve"> </t>
  </si>
  <si>
    <t>Date:</t>
  </si>
  <si>
    <t xml:space="preserve">4.01  Land </t>
  </si>
  <si>
    <t>4.02  Buildings</t>
  </si>
  <si>
    <t>4.03  Machinery &amp; Equipment</t>
  </si>
  <si>
    <t xml:space="preserve">    4.01  Land </t>
  </si>
  <si>
    <t xml:space="preserve">    4.02  Buildings</t>
  </si>
  <si>
    <t xml:space="preserve">    4.03  Machinery &amp; Equipment</t>
  </si>
  <si>
    <t>February, 2002</t>
  </si>
  <si>
    <t xml:space="preserve">The following budget is an estimate of the cost of production for raising dairy steer calves. The purpose of this budget is to assist Manitoba livestock producers in calculating their own costs and take into consideration the factors that should be included when budgeting to determine breakeven prices. </t>
  </si>
  <si>
    <t>Raising and feeding dairy steers is more management intensive in the early stages than raising beef steers. Beef steer calves typically remain on the cow for several months, nurse 6 to 8 times a day and consume high intakes of milk; whereas dairy steer calves are removed from the mother soon after birth and become totally reliant upon the producer to feed it milk or milk replacer 2-3 times a day. A major challenge facing producers is keeping death losses below 5.0% and getting calves off to a quick start.  Depending on average daily gains achieved, dairy steers can reach weights of 520-530 lbs. in 240-250 days.</t>
  </si>
  <si>
    <t>It is also highly recommended that all users of this budget should consult with their nutritionist and veterinarian to develop feeding and herd health programs tailored to their individual farms.</t>
  </si>
  <si>
    <t xml:space="preserve">Combining this budget with a steer finishing budget can assist producers in determining the profitability of finishing calves to market weights of 1200-1300 lbs. These budgets are available as Excel spreadsheets, and can be accessed on the Manitoba Agriculture and Food web site. </t>
  </si>
  <si>
    <t>The assumptions on which costs are calculated are clearly defined in the supporting pages. When interpreting these costs for an individual situation, adjustments may be required. Note that on-farm feed costs are based on market prices at the farm. It is assumed that all feed is grown on the farm except supplements. Each assumption must be examined and adjustments made, where necessary, to apply to the producer's own situation.</t>
  </si>
  <si>
    <t>Protein (i.e. 36% canola meal)</t>
  </si>
  <si>
    <t xml:space="preserve">See appendix 1 for details on building design and farm site layout for 100 head operation. Also included as appendix 2 and 3 are suggested layouts for possible expansion to 200 and 400 head respectively. </t>
  </si>
  <si>
    <t xml:space="preserve">Cost of Raising Dairy Steers </t>
  </si>
  <si>
    <t>Guidelines For Estimating</t>
  </si>
  <si>
    <t>Tom Droppo P.Ag., MSc., CIM.</t>
  </si>
  <si>
    <t>Appendix 2</t>
  </si>
  <si>
    <t>Vitamin A-D</t>
  </si>
  <si>
    <t>Vitamin E/Selenium</t>
  </si>
  <si>
    <t>Blackleg 8-way</t>
  </si>
  <si>
    <t>IBR,4-way</t>
  </si>
  <si>
    <t>Liquamycin LA</t>
  </si>
  <si>
    <t>Electrolyte Packets</t>
  </si>
  <si>
    <t>Growth Implants</t>
  </si>
  <si>
    <t>Scourguard</t>
  </si>
  <si>
    <t>B-12</t>
  </si>
  <si>
    <t>Internal/External Parasites</t>
  </si>
  <si>
    <t>Castration</t>
  </si>
  <si>
    <t>De-horning</t>
  </si>
  <si>
    <t>Appendix 1</t>
  </si>
  <si>
    <t>Appendix 3</t>
  </si>
  <si>
    <t>head</t>
  </si>
  <si>
    <t>days</t>
  </si>
  <si>
    <t>Protein (ie. 38% canola meal)</t>
  </si>
  <si>
    <t>Land, 10 acres at $500/acre</t>
  </si>
  <si>
    <t>Calf hutches, 25 @ $335</t>
  </si>
  <si>
    <t>Facility, 42'x64' @ $6.00 /sq ft</t>
  </si>
  <si>
    <t>Concrete area, 1408 sq ft @ $3.55 /sq ft</t>
  </si>
  <si>
    <t>Site prep, liquid manure collection pit, gravel/shale</t>
  </si>
  <si>
    <t>Lower wall protective planking with 1/8" puckboard</t>
  </si>
  <si>
    <t>Waterers, 2 @ $300 + installation</t>
  </si>
  <si>
    <t>Electrical</t>
  </si>
  <si>
    <t>Loading /chute (self-made)</t>
  </si>
  <si>
    <t>Posts, 50 4"-5" PT spruce @ $6, wire etc. installed</t>
  </si>
  <si>
    <t xml:space="preserve">Metal panel gates, 114' @ $6.50 </t>
  </si>
  <si>
    <t>Feed bunk, 64'x3' @ $3.50/ft</t>
  </si>
  <si>
    <t>Water line, from yard source</t>
  </si>
  <si>
    <t xml:space="preserve">Double layer vent. curtain </t>
  </si>
  <si>
    <t>Tractor &amp; Loader (steer portion)</t>
  </si>
  <si>
    <t>Feed Storage &amp; Handling</t>
  </si>
  <si>
    <t>Truck, Office Equipment &amp; Miscellaneous</t>
  </si>
  <si>
    <t>lbs/head</t>
  </si>
  <si>
    <r>
      <t>Disclaimer:</t>
    </r>
    <r>
      <rPr>
        <sz val="10"/>
        <rFont val="Arial"/>
        <family val="2"/>
      </rPr>
      <t xml:space="preserve"> This budget is only a guide and is not intended as an in-depth study of the cost of production of this industry. Interpretation and utilization of this information is the responsibility of the user. No liability for decisions based on this publication is assumed. If you require assistance with developing your individual budget, please contact your local MAF Office or the Farm Management Section in Winnipeg at 204-945-4937.</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</si>
</sst>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quot;#,##0.00_);[Red]\-&quot;$&quot;#,##0.00"/>
    <numFmt numFmtId="174" formatCode="&quot;$&quot;#,##0.00_);[Red]\-&quot;$&quot;#,##0"/>
    <numFmt numFmtId="175" formatCode="&quot;$&quot;#,##0._);[Red]\-&quot;$&quot;#,##0"/>
    <numFmt numFmtId="176" formatCode="&quot;$&quot;#,##0_);[Red]\-&quot;$&quot;#,##0"/>
    <numFmt numFmtId="177" formatCode="&quot;$&quot;#,##0"/>
    <numFmt numFmtId="178" formatCode="&quot;$&quot;#,##0.00"/>
    <numFmt numFmtId="179" formatCode="&quot;$&quot;#,##0.0_);\(&quot;$&quot;#,##0.0\)"/>
    <numFmt numFmtId="180" formatCode="0.0"/>
    <numFmt numFmtId="181" formatCode="&quot;$&quot;#,##0.0"/>
    <numFmt numFmtId="182" formatCode="#,##0.000"/>
    <numFmt numFmtId="183" formatCode="#,##0.0_);[Red]\(#,##0.0\)"/>
    <numFmt numFmtId="184" formatCode="_-&quot;£&quot;* #,##0_-;\-&quot;£&quot;* #,##0_-;_-&quot;£&quot;* &quot;-&quot;_-;_-@_-"/>
    <numFmt numFmtId="185" formatCode="_-* #,##0\ &quot;DM&quot;_-;\-* #,##0\ &quot;DM&quot;_-;_-* &quot;-&quot;\ &quot;DM&quot;_-;_-@_-"/>
    <numFmt numFmtId="186" formatCode="_-&quot;£&quot;* #,##0.00_-;\-&quot;£&quot;* #,##0.00_-;_-&quot;£&quot;* &quot;-&quot;??_-;_-@_-"/>
    <numFmt numFmtId="187" formatCode="_-* #,##0.00\ &quot;DM&quot;_-;\-* #,##0.00\ &quot;DM&quot;_-;_-* &quot;-&quot;??\ &quot;DM&quot;_-;_-@_-"/>
    <numFmt numFmtId="188" formatCode="#,##0.000_);[Red]\(#,##0.000\)"/>
    <numFmt numFmtId="189" formatCode="#,##0.0;[Red]\-#,##0.0"/>
    <numFmt numFmtId="190" formatCode="&quot;$&quot;#,##0.0_);[Red]\(&quot;$&quot;#,##0.0\)"/>
    <numFmt numFmtId="191" formatCode="0.000"/>
    <numFmt numFmtId="192" formatCode="#,##0;[Red]#,##0"/>
    <numFmt numFmtId="193" formatCode="0_);[Red]\(0\)"/>
  </numFmts>
  <fonts count="27">
    <font>
      <sz val="12"/>
      <name val="Arial"/>
      <family val="0"/>
    </font>
    <font>
      <b/>
      <u val="single"/>
      <sz val="12"/>
      <name val="Arial"/>
      <family val="0"/>
    </font>
    <font>
      <b/>
      <sz val="12"/>
      <name val="Arial"/>
      <family val="0"/>
    </font>
    <font>
      <u val="single"/>
      <sz val="12"/>
      <name val="Arial"/>
      <family val="0"/>
    </font>
    <font>
      <b/>
      <sz val="14"/>
      <color indexed="18"/>
      <name val="Arial"/>
      <family val="2"/>
    </font>
    <font>
      <b/>
      <sz val="12"/>
      <color indexed="12"/>
      <name val="Arial"/>
      <family val="2"/>
    </font>
    <font>
      <b/>
      <sz val="10"/>
      <color indexed="12"/>
      <name val="Arial"/>
      <family val="2"/>
    </font>
    <font>
      <b/>
      <u val="single"/>
      <sz val="12"/>
      <color indexed="18"/>
      <name val="Arial"/>
      <family val="2"/>
    </font>
    <font>
      <sz val="12"/>
      <color indexed="12"/>
      <name val="Arial"/>
      <family val="2"/>
    </font>
    <font>
      <b/>
      <i/>
      <sz val="12"/>
      <name val="Arial"/>
      <family val="2"/>
    </font>
    <font>
      <u val="single"/>
      <sz val="10"/>
      <color indexed="36"/>
      <name val="Arial"/>
      <family val="0"/>
    </font>
    <font>
      <u val="single"/>
      <sz val="10"/>
      <color indexed="12"/>
      <name val="Arial"/>
      <family val="2"/>
    </font>
    <font>
      <sz val="10"/>
      <name val="Arial"/>
      <family val="2"/>
    </font>
    <font>
      <sz val="10"/>
      <color indexed="8"/>
      <name val="Arial"/>
      <family val="2"/>
    </font>
    <font>
      <sz val="10"/>
      <color indexed="12"/>
      <name val="Arial"/>
      <family val="2"/>
    </font>
    <font>
      <b/>
      <sz val="16"/>
      <color indexed="18"/>
      <name val="Arial"/>
      <family val="2"/>
    </font>
    <font>
      <b/>
      <sz val="12"/>
      <color indexed="18"/>
      <name val="Arial"/>
      <family val="2"/>
    </font>
    <font>
      <sz val="18"/>
      <color indexed="18"/>
      <name val="CG Times"/>
      <family val="1"/>
    </font>
    <font>
      <b/>
      <sz val="24"/>
      <color indexed="18"/>
      <name val="CG Times"/>
      <family val="1"/>
    </font>
    <font>
      <b/>
      <sz val="14"/>
      <name val="Arial"/>
      <family val="2"/>
    </font>
    <font>
      <sz val="14"/>
      <name val="Arial"/>
      <family val="2"/>
    </font>
    <font>
      <sz val="9"/>
      <name val="Arial"/>
      <family val="2"/>
    </font>
    <font>
      <sz val="8"/>
      <name val="Tahoma"/>
      <family val="0"/>
    </font>
    <font>
      <i/>
      <sz val="12"/>
      <name val="Arial"/>
      <family val="2"/>
    </font>
    <font>
      <b/>
      <i/>
      <u val="single"/>
      <sz val="12"/>
      <name val="Arial"/>
      <family val="2"/>
    </font>
    <font>
      <b/>
      <sz val="10"/>
      <name val="Arial"/>
      <family val="2"/>
    </font>
    <font>
      <b/>
      <sz val="8"/>
      <name val="Arial"/>
      <family val="2"/>
    </font>
  </fonts>
  <fills count="6">
    <fill>
      <patternFill/>
    </fill>
    <fill>
      <patternFill patternType="gray125"/>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s>
  <borders count="6">
    <border>
      <left/>
      <right/>
      <top/>
      <bottom/>
      <diagonal/>
    </border>
    <border>
      <left style="hair"/>
      <right style="hair"/>
      <top style="hair"/>
      <bottom style="hair"/>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s>
  <cellStyleXfs count="39">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5" fontId="0" fillId="0" borderId="0">
      <alignment/>
      <protection/>
    </xf>
    <xf numFmtId="165" fontId="5" fillId="0" borderId="0">
      <alignment/>
      <protection locked="0"/>
    </xf>
    <xf numFmtId="167" fontId="0" fillId="0" borderId="0">
      <alignment/>
      <protection/>
    </xf>
    <xf numFmtId="167" fontId="5" fillId="0" borderId="0">
      <alignment/>
      <protection locked="0"/>
    </xf>
    <xf numFmtId="38" fontId="0" fillId="0" borderId="0">
      <alignment/>
      <protection/>
    </xf>
    <xf numFmtId="38" fontId="5" fillId="0" borderId="0">
      <alignment/>
      <protection locked="0"/>
    </xf>
    <xf numFmtId="183" fontId="0" fillId="0" borderId="0">
      <alignment/>
      <protection/>
    </xf>
    <xf numFmtId="183" fontId="5" fillId="0" borderId="0">
      <alignment/>
      <protection locked="0"/>
    </xf>
    <xf numFmtId="40" fontId="0" fillId="0" borderId="0">
      <alignment/>
      <protection/>
    </xf>
    <xf numFmtId="40" fontId="5" fillId="0" borderId="0">
      <alignment/>
      <protection locked="0"/>
    </xf>
    <xf numFmtId="0" fontId="10" fillId="0" borderId="0" applyNumberFormat="0" applyFill="0" applyBorder="0" applyAlignment="0" applyProtection="0"/>
    <xf numFmtId="0" fontId="11" fillId="2" borderId="0" applyNumberFormat="0" applyBorder="0" applyAlignment="0" applyProtection="0"/>
    <xf numFmtId="38" fontId="12" fillId="2" borderId="1">
      <alignment/>
      <protection/>
    </xf>
    <xf numFmtId="38" fontId="14" fillId="0" borderId="1">
      <alignment/>
      <protection locked="0"/>
    </xf>
    <xf numFmtId="183" fontId="12" fillId="3" borderId="1">
      <alignment/>
      <protection/>
    </xf>
    <xf numFmtId="183" fontId="14" fillId="0" borderId="1">
      <alignment/>
      <protection locked="0"/>
    </xf>
    <xf numFmtId="40" fontId="12" fillId="3" borderId="1">
      <alignment/>
      <protection/>
    </xf>
    <xf numFmtId="40" fontId="14" fillId="0" borderId="1">
      <alignment/>
      <protection locked="0"/>
    </xf>
    <xf numFmtId="9" fontId="12" fillId="0" borderId="0" applyFont="0" applyFill="0" applyBorder="0" applyAlignment="0" applyProtection="0"/>
    <xf numFmtId="10" fontId="12" fillId="2" borderId="1">
      <alignment/>
      <protection/>
    </xf>
    <xf numFmtId="10" fontId="14" fillId="4" borderId="1">
      <alignment/>
      <protection locked="0"/>
    </xf>
    <xf numFmtId="0" fontId="12" fillId="5" borderId="0">
      <alignment/>
      <protection/>
    </xf>
    <xf numFmtId="184" fontId="12" fillId="0" borderId="0" applyFont="0" applyFill="0" applyBorder="0" applyAlignment="0" applyProtection="0"/>
    <xf numFmtId="186" fontId="12" fillId="0" borderId="0" applyFont="0" applyFill="0" applyBorder="0" applyAlignment="0" applyProtection="0"/>
  </cellStyleXfs>
  <cellXfs count="219">
    <xf numFmtId="164" fontId="0" fillId="0" borderId="0" xfId="0" applyAlignment="1">
      <alignment/>
    </xf>
    <xf numFmtId="166" fontId="0" fillId="0" borderId="0" xfId="0" applyNumberFormat="1" applyAlignment="1">
      <alignment/>
    </xf>
    <xf numFmtId="164" fontId="2" fillId="0" borderId="0" xfId="0" applyFont="1" applyAlignment="1">
      <alignment/>
    </xf>
    <xf numFmtId="164" fontId="0" fillId="0" borderId="2" xfId="0" applyBorder="1" applyAlignment="1">
      <alignment/>
    </xf>
    <xf numFmtId="1" fontId="0" fillId="0" borderId="0" xfId="0" applyNumberFormat="1" applyAlignment="1">
      <alignment/>
    </xf>
    <xf numFmtId="178" fontId="0" fillId="0" borderId="0" xfId="0" applyNumberFormat="1" applyAlignment="1">
      <alignment/>
    </xf>
    <xf numFmtId="1" fontId="3" fillId="0" borderId="0" xfId="0" applyNumberFormat="1" applyFont="1" applyAlignment="1">
      <alignment/>
    </xf>
    <xf numFmtId="164" fontId="3" fillId="0" borderId="0" xfId="0" applyFont="1" applyAlignment="1">
      <alignment/>
    </xf>
    <xf numFmtId="164" fontId="0" fillId="0" borderId="0" xfId="0" applyAlignment="1" quotePrefix="1">
      <alignment/>
    </xf>
    <xf numFmtId="164" fontId="2" fillId="0" borderId="0" xfId="0" applyFont="1" applyAlignment="1" quotePrefix="1">
      <alignment/>
    </xf>
    <xf numFmtId="1" fontId="2" fillId="0" borderId="0" xfId="0" applyNumberFormat="1" applyFont="1" applyAlignment="1">
      <alignment/>
    </xf>
    <xf numFmtId="164" fontId="0" fillId="0" borderId="0" xfId="0" applyFont="1" applyAlignment="1">
      <alignment/>
    </xf>
    <xf numFmtId="166" fontId="3" fillId="0" borderId="0" xfId="0" applyNumberFormat="1" applyFont="1" applyAlignment="1">
      <alignment/>
    </xf>
    <xf numFmtId="164" fontId="2" fillId="0" borderId="2" xfId="0" applyFont="1" applyBorder="1" applyAlignment="1" quotePrefix="1">
      <alignment/>
    </xf>
    <xf numFmtId="178" fontId="2" fillId="0" borderId="2" xfId="0" applyNumberFormat="1" applyFont="1" applyBorder="1" applyAlignment="1">
      <alignment/>
    </xf>
    <xf numFmtId="164" fontId="2" fillId="0" borderId="2" xfId="0" applyFont="1" applyBorder="1" applyAlignment="1">
      <alignment/>
    </xf>
    <xf numFmtId="165" fontId="0" fillId="0" borderId="0" xfId="15">
      <alignment/>
      <protection/>
    </xf>
    <xf numFmtId="164" fontId="0" fillId="0" borderId="0" xfId="0" applyAlignment="1" applyProtection="1">
      <alignment/>
      <protection/>
    </xf>
    <xf numFmtId="164" fontId="2" fillId="0" borderId="0" xfId="0" applyFont="1" applyAlignment="1" applyProtection="1">
      <alignment/>
      <protection/>
    </xf>
    <xf numFmtId="166" fontId="0" fillId="0" borderId="0" xfId="0" applyNumberFormat="1" applyAlignment="1" applyProtection="1">
      <alignment/>
      <protection/>
    </xf>
    <xf numFmtId="164" fontId="2" fillId="0" borderId="0" xfId="0" applyFont="1" applyAlignment="1" applyProtection="1">
      <alignment horizontal="right"/>
      <protection/>
    </xf>
    <xf numFmtId="164" fontId="2" fillId="0" borderId="0" xfId="0" applyFont="1" applyAlignment="1" applyProtection="1">
      <alignment horizontal="center"/>
      <protection/>
    </xf>
    <xf numFmtId="164" fontId="0" fillId="0" borderId="0" xfId="0" applyAlignment="1" applyProtection="1">
      <alignment horizontal="center"/>
      <protection/>
    </xf>
    <xf numFmtId="164" fontId="1" fillId="0" borderId="0" xfId="0" applyFont="1" applyAlignment="1" applyProtection="1">
      <alignment horizontal="right"/>
      <protection/>
    </xf>
    <xf numFmtId="164" fontId="1" fillId="0" borderId="0" xfId="0" applyFont="1" applyAlignment="1" applyProtection="1">
      <alignment horizontal="center"/>
      <protection/>
    </xf>
    <xf numFmtId="164" fontId="0" fillId="0" borderId="0" xfId="0" applyAlignment="1" applyProtection="1">
      <alignment horizontal="left"/>
      <protection/>
    </xf>
    <xf numFmtId="166" fontId="1" fillId="0" borderId="0" xfId="0" applyNumberFormat="1" applyFont="1" applyAlignment="1" applyProtection="1">
      <alignment horizontal="right"/>
      <protection/>
    </xf>
    <xf numFmtId="3" fontId="0" fillId="0" borderId="0" xfId="0" applyNumberFormat="1" applyAlignment="1" applyProtection="1">
      <alignment/>
      <protection/>
    </xf>
    <xf numFmtId="166" fontId="2" fillId="0" borderId="0" xfId="0" applyNumberFormat="1" applyFont="1" applyAlignment="1" applyProtection="1">
      <alignment horizontal="right"/>
      <protection/>
    </xf>
    <xf numFmtId="3" fontId="2" fillId="0" borderId="0" xfId="0" applyNumberFormat="1" applyFont="1" applyAlignment="1" applyProtection="1">
      <alignment horizontal="right"/>
      <protection/>
    </xf>
    <xf numFmtId="3" fontId="1" fillId="0" borderId="0" xfId="0" applyNumberFormat="1" applyFont="1" applyAlignment="1" applyProtection="1">
      <alignment horizontal="right"/>
      <protection/>
    </xf>
    <xf numFmtId="3" fontId="0" fillId="0" borderId="0" xfId="0" applyNumberFormat="1" applyFont="1" applyAlignment="1" applyProtection="1">
      <alignment/>
      <protection/>
    </xf>
    <xf numFmtId="177" fontId="8" fillId="0" borderId="0" xfId="0" applyNumberFormat="1" applyFont="1" applyAlignment="1" applyProtection="1">
      <alignment/>
      <protection/>
    </xf>
    <xf numFmtId="172" fontId="0" fillId="0" borderId="0" xfId="0" applyNumberFormat="1" applyAlignment="1" applyProtection="1">
      <alignment/>
      <protection/>
    </xf>
    <xf numFmtId="164" fontId="0" fillId="0" borderId="0" xfId="0" applyFont="1" applyAlignment="1" applyProtection="1">
      <alignment/>
      <protection/>
    </xf>
    <xf numFmtId="172" fontId="0" fillId="0" borderId="0" xfId="0" applyNumberFormat="1" applyFont="1" applyAlignment="1" applyProtection="1">
      <alignment/>
      <protection/>
    </xf>
    <xf numFmtId="166" fontId="0" fillId="0" borderId="0" xfId="0" applyNumberFormat="1" applyFont="1" applyAlignment="1" applyProtection="1">
      <alignment/>
      <protection/>
    </xf>
    <xf numFmtId="38" fontId="0" fillId="0" borderId="0" xfId="19">
      <alignment/>
      <protection/>
    </xf>
    <xf numFmtId="0" fontId="2" fillId="0" borderId="0" xfId="0" applyFont="1" applyAlignment="1" applyProtection="1">
      <alignment/>
      <protection/>
    </xf>
    <xf numFmtId="164" fontId="0" fillId="0" borderId="2" xfId="0" applyBorder="1" applyAlignment="1" applyProtection="1">
      <alignment/>
      <protection/>
    </xf>
    <xf numFmtId="164" fontId="0" fillId="0" borderId="0" xfId="0" applyBorder="1" applyAlignment="1" applyProtection="1">
      <alignment/>
      <protection/>
    </xf>
    <xf numFmtId="0" fontId="2" fillId="0" borderId="0" xfId="0" applyFont="1" applyBorder="1" applyAlignment="1" applyProtection="1">
      <alignment/>
      <protection/>
    </xf>
    <xf numFmtId="164" fontId="0" fillId="0" borderId="3" xfId="0" applyBorder="1" applyAlignment="1" applyProtection="1">
      <alignment/>
      <protection/>
    </xf>
    <xf numFmtId="164" fontId="0" fillId="0" borderId="4" xfId="0" applyBorder="1" applyAlignment="1" applyProtection="1">
      <alignment/>
      <protection/>
    </xf>
    <xf numFmtId="164" fontId="4" fillId="0" borderId="0" xfId="0" applyFont="1" applyAlignment="1" applyProtection="1">
      <alignment horizontal="center"/>
      <protection/>
    </xf>
    <xf numFmtId="164" fontId="0" fillId="0" borderId="0" xfId="0" applyAlignment="1" applyProtection="1">
      <alignment/>
      <protection/>
    </xf>
    <xf numFmtId="164" fontId="0" fillId="0" borderId="5" xfId="0" applyBorder="1" applyAlignment="1" applyProtection="1">
      <alignment/>
      <protection/>
    </xf>
    <xf numFmtId="4" fontId="0" fillId="0" borderId="0" xfId="0" applyNumberFormat="1" applyAlignment="1" applyProtection="1">
      <alignment/>
      <protection/>
    </xf>
    <xf numFmtId="167" fontId="0" fillId="0" borderId="0" xfId="17">
      <alignment/>
      <protection/>
    </xf>
    <xf numFmtId="167" fontId="0" fillId="0" borderId="0" xfId="17" applyBorder="1">
      <alignment/>
      <protection/>
    </xf>
    <xf numFmtId="180" fontId="0" fillId="0" borderId="0" xfId="0" applyNumberFormat="1" applyFont="1" applyAlignment="1" applyProtection="1" quotePrefix="1">
      <alignment/>
      <protection/>
    </xf>
    <xf numFmtId="164" fontId="0" fillId="0" borderId="0" xfId="0" applyFont="1" applyAlignment="1" applyProtection="1" quotePrefix="1">
      <alignment/>
      <protection/>
    </xf>
    <xf numFmtId="164" fontId="0" fillId="0" borderId="0" xfId="0" applyFont="1" applyBorder="1" applyAlignment="1" applyProtection="1">
      <alignment/>
      <protection/>
    </xf>
    <xf numFmtId="0" fontId="2" fillId="0" borderId="0" xfId="0" applyFont="1" applyAlignment="1" applyProtection="1">
      <alignment/>
      <protection/>
    </xf>
    <xf numFmtId="164" fontId="1" fillId="0" borderId="0" xfId="0" applyFont="1" applyAlignment="1" applyProtection="1">
      <alignment/>
      <protection/>
    </xf>
    <xf numFmtId="164" fontId="0" fillId="0" borderId="2" xfId="0" applyFont="1" applyBorder="1" applyAlignment="1" applyProtection="1">
      <alignment/>
      <protection/>
    </xf>
    <xf numFmtId="0" fontId="0" fillId="0" borderId="0" xfId="0" applyFont="1" applyBorder="1" applyAlignment="1" applyProtection="1">
      <alignment/>
      <protection/>
    </xf>
    <xf numFmtId="0" fontId="3" fillId="0" borderId="0" xfId="0" applyFont="1" applyAlignment="1" applyProtection="1">
      <alignment/>
      <protection/>
    </xf>
    <xf numFmtId="0" fontId="2" fillId="0" borderId="0" xfId="0" applyFont="1" applyBorder="1" applyAlignment="1" applyProtection="1">
      <alignment/>
      <protection/>
    </xf>
    <xf numFmtId="178" fontId="2" fillId="0" borderId="0" xfId="0" applyNumberFormat="1" applyFont="1" applyAlignment="1" applyProtection="1">
      <alignment/>
      <protection/>
    </xf>
    <xf numFmtId="164" fontId="0" fillId="0" borderId="5" xfId="0" applyFont="1" applyBorder="1" applyAlignment="1" applyProtection="1">
      <alignment/>
      <protection/>
    </xf>
    <xf numFmtId="0" fontId="3" fillId="0" borderId="2" xfId="0" applyFont="1" applyBorder="1" applyAlignment="1" applyProtection="1">
      <alignment/>
      <protection/>
    </xf>
    <xf numFmtId="177" fontId="2" fillId="0" borderId="0" xfId="0" applyNumberFormat="1" applyFont="1" applyAlignment="1" applyProtection="1">
      <alignment/>
      <protection/>
    </xf>
    <xf numFmtId="164" fontId="9" fillId="0" borderId="0" xfId="0" applyFont="1" applyAlignment="1" applyProtection="1">
      <alignment/>
      <protection/>
    </xf>
    <xf numFmtId="164" fontId="1" fillId="0" borderId="0" xfId="0" applyFont="1" applyAlignment="1" applyProtection="1">
      <alignment horizontal="left"/>
      <protection/>
    </xf>
    <xf numFmtId="38" fontId="3" fillId="0" borderId="0" xfId="19" applyFont="1">
      <alignment/>
      <protection/>
    </xf>
    <xf numFmtId="164" fontId="0" fillId="0" borderId="0" xfId="0" applyFont="1" applyAlignment="1" applyProtection="1">
      <alignment horizontal="left"/>
      <protection/>
    </xf>
    <xf numFmtId="38" fontId="0" fillId="0" borderId="0" xfId="19" applyBorder="1">
      <alignment/>
      <protection/>
    </xf>
    <xf numFmtId="164" fontId="3" fillId="0" borderId="0" xfId="0" applyFont="1" applyAlignment="1" applyProtection="1">
      <alignment/>
      <protection/>
    </xf>
    <xf numFmtId="0" fontId="3" fillId="0" borderId="0" xfId="0" applyFont="1" applyBorder="1" applyAlignment="1" applyProtection="1">
      <alignment/>
      <protection/>
    </xf>
    <xf numFmtId="178" fontId="2" fillId="0" borderId="0" xfId="17" applyNumberFormat="1" applyFont="1">
      <alignment/>
      <protection/>
    </xf>
    <xf numFmtId="177" fontId="2" fillId="0" borderId="0" xfId="15" applyNumberFormat="1" applyFont="1">
      <alignment/>
      <protection/>
    </xf>
    <xf numFmtId="178" fontId="0" fillId="0" borderId="0" xfId="17" applyNumberFormat="1">
      <alignment/>
      <protection/>
    </xf>
    <xf numFmtId="177" fontId="0" fillId="0" borderId="0" xfId="15" applyNumberFormat="1" applyProtection="1">
      <alignment/>
      <protection/>
    </xf>
    <xf numFmtId="177" fontId="3" fillId="0" borderId="0" xfId="15" applyNumberFormat="1" applyFont="1" applyProtection="1">
      <alignment/>
      <protection/>
    </xf>
    <xf numFmtId="166" fontId="1" fillId="0" borderId="0" xfId="0" applyNumberFormat="1" applyFont="1" applyBorder="1" applyAlignment="1" applyProtection="1">
      <alignment horizontal="right"/>
      <protection/>
    </xf>
    <xf numFmtId="164" fontId="3" fillId="0" borderId="0" xfId="0" applyFont="1" applyBorder="1" applyAlignment="1" applyProtection="1">
      <alignment/>
      <protection/>
    </xf>
    <xf numFmtId="0" fontId="1" fillId="0" borderId="0" xfId="0" applyFont="1" applyBorder="1" applyAlignment="1" applyProtection="1">
      <alignment horizontal="right"/>
      <protection/>
    </xf>
    <xf numFmtId="38" fontId="3" fillId="0" borderId="0" xfId="19" applyFont="1" applyBorder="1">
      <alignment/>
      <protection/>
    </xf>
    <xf numFmtId="178" fontId="1" fillId="0" borderId="0" xfId="23" applyNumberFormat="1" applyFont="1" applyBorder="1">
      <alignment/>
      <protection/>
    </xf>
    <xf numFmtId="0" fontId="1" fillId="0" borderId="0" xfId="0" applyFont="1" applyBorder="1" applyAlignment="1" applyProtection="1">
      <alignment/>
      <protection/>
    </xf>
    <xf numFmtId="177" fontId="1" fillId="0" borderId="0" xfId="19" applyNumberFormat="1" applyFont="1" applyBorder="1">
      <alignment/>
      <protection/>
    </xf>
    <xf numFmtId="178" fontId="0" fillId="0" borderId="0" xfId="23" applyNumberFormat="1">
      <alignment/>
      <protection/>
    </xf>
    <xf numFmtId="178" fontId="2" fillId="0" borderId="0" xfId="0" applyNumberFormat="1" applyFont="1" applyAlignment="1" applyProtection="1">
      <alignment/>
      <protection/>
    </xf>
    <xf numFmtId="177" fontId="0" fillId="0" borderId="0" xfId="19" applyNumberFormat="1">
      <alignment/>
      <protection/>
    </xf>
    <xf numFmtId="0" fontId="0" fillId="0" borderId="0" xfId="0" applyFont="1" applyAlignment="1" applyProtection="1">
      <alignment/>
      <protection/>
    </xf>
    <xf numFmtId="164" fontId="2" fillId="0" borderId="0" xfId="0" applyFont="1" applyBorder="1" applyAlignment="1" applyProtection="1">
      <alignment/>
      <protection/>
    </xf>
    <xf numFmtId="177" fontId="0" fillId="0" borderId="0" xfId="0" applyNumberFormat="1" applyFont="1" applyAlignment="1" applyProtection="1">
      <alignment/>
      <protection/>
    </xf>
    <xf numFmtId="177" fontId="3" fillId="0" borderId="0" xfId="0" applyNumberFormat="1" applyFont="1" applyAlignment="1" applyProtection="1">
      <alignment/>
      <protection/>
    </xf>
    <xf numFmtId="177" fontId="2" fillId="0" borderId="0" xfId="15" applyNumberFormat="1" applyFont="1" applyProtection="1">
      <alignment/>
      <protection/>
    </xf>
    <xf numFmtId="178" fontId="3" fillId="0" borderId="0" xfId="23" applyNumberFormat="1" applyFont="1" applyBorder="1">
      <alignment/>
      <protection/>
    </xf>
    <xf numFmtId="164" fontId="0" fillId="0" borderId="0" xfId="0" applyAlignment="1" applyProtection="1" quotePrefix="1">
      <alignment/>
      <protection/>
    </xf>
    <xf numFmtId="1" fontId="0" fillId="0" borderId="0" xfId="0" applyNumberFormat="1" applyFont="1" applyAlignment="1" applyProtection="1">
      <alignment/>
      <protection/>
    </xf>
    <xf numFmtId="1" fontId="2" fillId="0" borderId="0" xfId="0" applyNumberFormat="1" applyFont="1" applyAlignment="1" applyProtection="1">
      <alignment/>
      <protection/>
    </xf>
    <xf numFmtId="178" fontId="0" fillId="0" borderId="0" xfId="23" applyNumberFormat="1" applyFont="1" applyBorder="1">
      <alignment/>
      <protection/>
    </xf>
    <xf numFmtId="38" fontId="0" fillId="0" borderId="0" xfId="19" applyFont="1" applyBorder="1">
      <alignment/>
      <protection/>
    </xf>
    <xf numFmtId="180" fontId="0" fillId="0" borderId="0" xfId="0" applyNumberFormat="1" applyFont="1" applyAlignment="1" applyProtection="1">
      <alignment/>
      <protection/>
    </xf>
    <xf numFmtId="178" fontId="3" fillId="0" borderId="0" xfId="0" applyNumberFormat="1" applyFont="1" applyAlignment="1" applyProtection="1">
      <alignment/>
      <protection/>
    </xf>
    <xf numFmtId="164" fontId="21" fillId="0" borderId="0" xfId="0" applyFont="1" applyAlignment="1" applyProtection="1">
      <alignment/>
      <protection/>
    </xf>
    <xf numFmtId="165" fontId="0" fillId="0" borderId="0" xfId="17" applyNumberFormat="1" quotePrefix="1">
      <alignment/>
      <protection/>
    </xf>
    <xf numFmtId="167" fontId="0" fillId="0" borderId="0" xfId="17" applyNumberFormat="1" quotePrefix="1">
      <alignment/>
      <protection/>
    </xf>
    <xf numFmtId="164" fontId="16" fillId="0" borderId="0" xfId="0" applyFont="1" applyAlignment="1" applyProtection="1" quotePrefix="1">
      <alignment horizontal="center"/>
      <protection/>
    </xf>
    <xf numFmtId="1" fontId="0" fillId="0" borderId="0" xfId="0" applyNumberFormat="1" applyAlignment="1" applyProtection="1">
      <alignment/>
      <protection/>
    </xf>
    <xf numFmtId="164" fontId="3" fillId="0" borderId="0" xfId="0" applyFont="1" applyAlignment="1" applyProtection="1" quotePrefix="1">
      <alignment/>
      <protection/>
    </xf>
    <xf numFmtId="178" fontId="0" fillId="0" borderId="0" xfId="0" applyNumberFormat="1" applyFont="1" applyAlignment="1" applyProtection="1">
      <alignment/>
      <protection/>
    </xf>
    <xf numFmtId="1" fontId="3" fillId="0" borderId="0" xfId="0" applyNumberFormat="1" applyFont="1" applyAlignment="1" applyProtection="1">
      <alignment/>
      <protection/>
    </xf>
    <xf numFmtId="3" fontId="2" fillId="0" borderId="0" xfId="0" applyNumberFormat="1" applyFont="1" applyAlignment="1" applyProtection="1">
      <alignment/>
      <protection/>
    </xf>
    <xf numFmtId="164" fontId="23" fillId="0" borderId="0" xfId="0" applyFont="1" applyAlignment="1" applyProtection="1">
      <alignment/>
      <protection/>
    </xf>
    <xf numFmtId="164" fontId="24" fillId="0" borderId="0" xfId="0" applyFont="1" applyAlignment="1" applyProtection="1">
      <alignment horizontal="center"/>
      <protection/>
    </xf>
    <xf numFmtId="164" fontId="9" fillId="0" borderId="0" xfId="0" applyFont="1" applyAlignment="1" applyProtection="1">
      <alignment horizontal="center"/>
      <protection/>
    </xf>
    <xf numFmtId="164" fontId="24" fillId="0" borderId="0" xfId="0" applyFont="1" applyAlignment="1" applyProtection="1">
      <alignment horizontal="left"/>
      <protection/>
    </xf>
    <xf numFmtId="164" fontId="9" fillId="0" borderId="0" xfId="0" applyFont="1" applyAlignment="1" applyProtection="1">
      <alignment horizontal="left"/>
      <protection/>
    </xf>
    <xf numFmtId="1" fontId="9" fillId="0" borderId="0" xfId="0" applyNumberFormat="1" applyFont="1" applyAlignment="1" applyProtection="1" quotePrefix="1">
      <alignment/>
      <protection/>
    </xf>
    <xf numFmtId="164" fontId="0" fillId="0" borderId="0" xfId="0" applyAlignment="1">
      <alignment wrapText="1"/>
    </xf>
    <xf numFmtId="164" fontId="0" fillId="0" borderId="0" xfId="0" applyAlignment="1">
      <alignment vertical="top" wrapText="1"/>
    </xf>
    <xf numFmtId="164" fontId="0" fillId="0" borderId="0" xfId="0" applyFont="1" applyAlignment="1">
      <alignment vertical="top" wrapText="1"/>
    </xf>
    <xf numFmtId="1" fontId="2" fillId="0" borderId="0" xfId="0" applyFont="1" applyAlignment="1">
      <alignment vertical="top" wrapText="1"/>
    </xf>
    <xf numFmtId="164" fontId="19" fillId="0" borderId="0" xfId="0" applyFont="1" applyAlignment="1" applyProtection="1">
      <alignment horizontal="center"/>
      <protection/>
    </xf>
    <xf numFmtId="177" fontId="0" fillId="0" borderId="0" xfId="15" applyNumberFormat="1" applyFont="1" applyProtection="1">
      <alignment/>
      <protection/>
    </xf>
    <xf numFmtId="164" fontId="0" fillId="0" borderId="0" xfId="0" applyBorder="1" applyAlignment="1">
      <alignment/>
    </xf>
    <xf numFmtId="164" fontId="15" fillId="0" borderId="0" xfId="0" applyFont="1" applyAlignment="1">
      <alignment horizontal="center"/>
    </xf>
    <xf numFmtId="164" fontId="17" fillId="0" borderId="0" xfId="0" applyFont="1" applyAlignment="1">
      <alignment horizontal="right"/>
    </xf>
    <xf numFmtId="164" fontId="18" fillId="0" borderId="0" xfId="0" applyFont="1" applyAlignment="1">
      <alignment horizontal="right"/>
    </xf>
    <xf numFmtId="3" fontId="17" fillId="0" borderId="0" xfId="0" applyNumberFormat="1" applyFont="1" applyAlignment="1">
      <alignment horizontal="right"/>
    </xf>
    <xf numFmtId="164" fontId="2" fillId="0" borderId="0" xfId="0" applyFont="1" applyAlignment="1">
      <alignment horizontal="right"/>
    </xf>
    <xf numFmtId="164" fontId="2" fillId="0" borderId="0" xfId="0" applyFont="1" applyAlignment="1">
      <alignment horizontal="left"/>
    </xf>
    <xf numFmtId="164" fontId="4" fillId="0" borderId="2" xfId="0" applyFont="1" applyBorder="1" applyAlignment="1" applyProtection="1">
      <alignment horizontal="center"/>
      <protection/>
    </xf>
    <xf numFmtId="166" fontId="0" fillId="0" borderId="0" xfId="0" applyNumberFormat="1" applyAlignment="1" applyProtection="1">
      <alignment/>
      <protection/>
    </xf>
    <xf numFmtId="164" fontId="20" fillId="0" borderId="0" xfId="0" applyFont="1" applyAlignment="1" applyProtection="1">
      <alignment horizontal="center"/>
      <protection/>
    </xf>
    <xf numFmtId="165" fontId="5" fillId="0" borderId="0" xfId="18" applyNumberFormat="1" applyProtection="1">
      <alignment/>
      <protection/>
    </xf>
    <xf numFmtId="0" fontId="2" fillId="0" borderId="0" xfId="0" applyNumberFormat="1" applyFont="1" applyAlignment="1" applyProtection="1">
      <alignment/>
      <protection/>
    </xf>
    <xf numFmtId="165" fontId="2" fillId="0" borderId="0" xfId="18" applyNumberFormat="1" applyFont="1" applyProtection="1">
      <alignment/>
      <protection/>
    </xf>
    <xf numFmtId="189" fontId="5" fillId="0" borderId="0" xfId="24" applyNumberFormat="1" applyProtection="1">
      <alignment/>
      <protection/>
    </xf>
    <xf numFmtId="178" fontId="5" fillId="0" borderId="0" xfId="18" applyNumberFormat="1" applyProtection="1">
      <alignment/>
      <protection/>
    </xf>
    <xf numFmtId="2" fontId="5" fillId="0" borderId="0" xfId="18" applyNumberFormat="1" applyProtection="1">
      <alignment/>
      <protection/>
    </xf>
    <xf numFmtId="3" fontId="2" fillId="0" borderId="0" xfId="19" applyNumberFormat="1" applyFont="1" applyProtection="1">
      <alignment/>
      <protection/>
    </xf>
    <xf numFmtId="167" fontId="5" fillId="0" borderId="0" xfId="18" applyProtection="1">
      <alignment/>
      <protection/>
    </xf>
    <xf numFmtId="38" fontId="0" fillId="0" borderId="0" xfId="19" applyProtection="1">
      <alignment/>
      <protection/>
    </xf>
    <xf numFmtId="167" fontId="0" fillId="0" borderId="0" xfId="17" applyProtection="1">
      <alignment/>
      <protection/>
    </xf>
    <xf numFmtId="38" fontId="5" fillId="0" borderId="0" xfId="20" applyProtection="1">
      <alignment/>
      <protection/>
    </xf>
    <xf numFmtId="38" fontId="5" fillId="0" borderId="0" xfId="20" applyFont="1" applyProtection="1">
      <alignment/>
      <protection/>
    </xf>
    <xf numFmtId="165" fontId="2" fillId="0" borderId="0" xfId="15" applyFont="1" applyProtection="1">
      <alignment/>
      <protection/>
    </xf>
    <xf numFmtId="164" fontId="1" fillId="0" borderId="0" xfId="0" applyFont="1" applyAlignment="1" applyProtection="1">
      <alignment horizontal="center" wrapText="1"/>
      <protection/>
    </xf>
    <xf numFmtId="164" fontId="3" fillId="0" borderId="0" xfId="0" applyFont="1" applyAlignment="1" applyProtection="1">
      <alignment horizontal="center" wrapText="1"/>
      <protection/>
    </xf>
    <xf numFmtId="164" fontId="2" fillId="0" borderId="0" xfId="0" applyFont="1" applyAlignment="1" applyProtection="1">
      <alignment horizontal="center"/>
      <protection/>
    </xf>
    <xf numFmtId="164" fontId="0" fillId="0" borderId="0" xfId="0" applyAlignment="1" applyProtection="1">
      <alignment horizontal="center"/>
      <protection/>
    </xf>
    <xf numFmtId="164" fontId="1" fillId="0" borderId="0" xfId="0" applyFont="1" applyAlignment="1" applyProtection="1">
      <alignment horizontal="center"/>
      <protection/>
    </xf>
    <xf numFmtId="164" fontId="25" fillId="0" borderId="0" xfId="0" applyFont="1" applyAlignment="1" applyProtection="1">
      <alignment horizontal="left" vertical="top" wrapText="1"/>
      <protection/>
    </xf>
    <xf numFmtId="164" fontId="0" fillId="0" borderId="0" xfId="0" applyAlignment="1" applyProtection="1">
      <alignment horizontal="left" vertical="top" wrapText="1"/>
      <protection/>
    </xf>
    <xf numFmtId="164" fontId="0" fillId="0" borderId="0" xfId="0" applyFont="1" applyAlignment="1" applyProtection="1">
      <alignment vertical="top" wrapText="1"/>
      <protection/>
    </xf>
    <xf numFmtId="192" fontId="5" fillId="0" borderId="0" xfId="20" applyNumberFormat="1" applyProtection="1">
      <alignment/>
      <protection locked="0"/>
    </xf>
    <xf numFmtId="189" fontId="5" fillId="0" borderId="0" xfId="24" applyNumberFormat="1" applyProtection="1">
      <alignment/>
      <protection locked="0"/>
    </xf>
    <xf numFmtId="178" fontId="5" fillId="0" borderId="0" xfId="18" applyNumberFormat="1" applyProtection="1">
      <alignment/>
      <protection locked="0"/>
    </xf>
    <xf numFmtId="180" fontId="5" fillId="0" borderId="0" xfId="18" applyNumberFormat="1" applyProtection="1">
      <alignment/>
      <protection locked="0"/>
    </xf>
    <xf numFmtId="2" fontId="5" fillId="0" borderId="0" xfId="18" applyNumberFormat="1" applyProtection="1">
      <alignment/>
      <protection locked="0"/>
    </xf>
    <xf numFmtId="4" fontId="5" fillId="0" borderId="0" xfId="22" applyNumberFormat="1" applyProtection="1">
      <alignment/>
      <protection locked="0"/>
    </xf>
    <xf numFmtId="167" fontId="5" fillId="0" borderId="0" xfId="18" applyProtection="1">
      <alignment/>
      <protection locked="0"/>
    </xf>
    <xf numFmtId="165" fontId="5" fillId="0" borderId="0" xfId="18" applyNumberFormat="1" applyProtection="1">
      <alignment/>
      <protection locked="0"/>
    </xf>
    <xf numFmtId="167" fontId="5" fillId="0" borderId="0" xfId="18" applyNumberFormat="1" applyProtection="1">
      <alignment/>
      <protection locked="0"/>
    </xf>
    <xf numFmtId="38" fontId="5" fillId="0" borderId="0" xfId="20" applyFont="1" applyProtection="1">
      <alignment/>
      <protection locked="0"/>
    </xf>
    <xf numFmtId="165" fontId="5" fillId="0" borderId="0" xfId="16" applyProtection="1">
      <alignment/>
      <protection locked="0"/>
    </xf>
    <xf numFmtId="165" fontId="5" fillId="0" borderId="0" xfId="16" applyFont="1" applyProtection="1">
      <alignment/>
      <protection locked="0"/>
    </xf>
    <xf numFmtId="183" fontId="5" fillId="0" borderId="0" xfId="22" applyProtection="1">
      <alignment/>
      <protection locked="0"/>
    </xf>
    <xf numFmtId="164" fontId="8" fillId="0" borderId="0" xfId="0" applyFont="1" applyAlignment="1" applyProtection="1">
      <alignment horizontal="left" indent="2"/>
      <protection locked="0"/>
    </xf>
    <xf numFmtId="165" fontId="5" fillId="0" borderId="2" xfId="18" applyNumberFormat="1" applyFont="1" applyBorder="1" applyProtection="1">
      <alignment/>
      <protection locked="0"/>
    </xf>
    <xf numFmtId="38" fontId="5" fillId="0" borderId="2" xfId="20" applyFont="1" applyBorder="1" applyProtection="1">
      <alignment/>
      <protection/>
    </xf>
    <xf numFmtId="3" fontId="0" fillId="0" borderId="2" xfId="0" applyNumberFormat="1" applyFont="1" applyBorder="1" applyAlignment="1" applyProtection="1">
      <alignment/>
      <protection/>
    </xf>
    <xf numFmtId="164" fontId="2" fillId="0" borderId="0" xfId="0" applyFont="1" applyAlignment="1" applyProtection="1">
      <alignment horizontal="left" indent="2"/>
      <protection/>
    </xf>
    <xf numFmtId="192" fontId="2" fillId="0" borderId="0" xfId="20" applyNumberFormat="1" applyFont="1" applyProtection="1">
      <alignment/>
      <protection/>
    </xf>
    <xf numFmtId="189" fontId="2" fillId="0" borderId="0" xfId="24" applyNumberFormat="1" applyFont="1" applyProtection="1">
      <alignment/>
      <protection/>
    </xf>
    <xf numFmtId="178" fontId="2" fillId="0" borderId="0" xfId="20" applyNumberFormat="1" applyFont="1" applyAlignment="1" applyProtection="1">
      <alignment horizontal="right"/>
      <protection/>
    </xf>
    <xf numFmtId="4" fontId="2" fillId="0" borderId="0" xfId="20" applyNumberFormat="1" applyFont="1" applyProtection="1">
      <alignment/>
      <protection/>
    </xf>
    <xf numFmtId="189" fontId="2" fillId="0" borderId="0" xfId="20" applyNumberFormat="1" applyFont="1" applyProtection="1">
      <alignment/>
      <protection/>
    </xf>
    <xf numFmtId="167" fontId="2" fillId="0" borderId="0" xfId="18" applyFont="1" applyProtection="1">
      <alignment/>
      <protection/>
    </xf>
    <xf numFmtId="1" fontId="5" fillId="0" borderId="0" xfId="18" applyNumberFormat="1" applyProtection="1">
      <alignment/>
      <protection/>
    </xf>
    <xf numFmtId="40" fontId="5" fillId="0" borderId="0" xfId="22" applyNumberFormat="1" applyProtection="1">
      <alignment/>
      <protection/>
    </xf>
    <xf numFmtId="38" fontId="2" fillId="0" borderId="0" xfId="19" applyFont="1" applyProtection="1">
      <alignment/>
      <protection/>
    </xf>
    <xf numFmtId="164" fontId="3" fillId="0" borderId="0" xfId="0" applyFont="1" applyAlignment="1" applyProtection="1">
      <alignment horizontal="center"/>
      <protection/>
    </xf>
    <xf numFmtId="1" fontId="2" fillId="0" borderId="0" xfId="18" applyNumberFormat="1" applyFont="1" applyProtection="1">
      <alignment/>
      <protection/>
    </xf>
    <xf numFmtId="38" fontId="2" fillId="0" borderId="0" xfId="20" applyFont="1" applyProtection="1">
      <alignment/>
      <protection/>
    </xf>
    <xf numFmtId="40" fontId="0" fillId="0" borderId="0" xfId="23" applyProtection="1">
      <alignment/>
      <protection/>
    </xf>
    <xf numFmtId="178" fontId="3" fillId="0" borderId="0" xfId="17" applyNumberFormat="1" applyFont="1" applyProtection="1">
      <alignment/>
      <protection/>
    </xf>
    <xf numFmtId="178" fontId="2" fillId="0" borderId="0" xfId="17" applyNumberFormat="1" applyFont="1" applyProtection="1">
      <alignment/>
      <protection/>
    </xf>
    <xf numFmtId="189" fontId="0" fillId="0" borderId="0" xfId="19" applyNumberFormat="1" applyProtection="1">
      <alignment/>
      <protection/>
    </xf>
    <xf numFmtId="180" fontId="0" fillId="0" borderId="0" xfId="21" applyNumberFormat="1" applyProtection="1">
      <alignment/>
      <protection/>
    </xf>
    <xf numFmtId="178" fontId="0" fillId="0" borderId="0" xfId="17" applyNumberFormat="1" applyProtection="1">
      <alignment/>
      <protection/>
    </xf>
    <xf numFmtId="38" fontId="3" fillId="0" borderId="0" xfId="19" applyFont="1" applyProtection="1">
      <alignment/>
      <protection/>
    </xf>
    <xf numFmtId="178" fontId="0" fillId="0" borderId="0" xfId="15" applyNumberFormat="1" applyProtection="1">
      <alignment/>
      <protection/>
    </xf>
    <xf numFmtId="177" fontId="0" fillId="0" borderId="0" xfId="17" applyNumberFormat="1" applyProtection="1">
      <alignment/>
      <protection/>
    </xf>
    <xf numFmtId="3" fontId="3" fillId="0" borderId="0" xfId="17" applyNumberFormat="1" applyFont="1" applyProtection="1">
      <alignment/>
      <protection/>
    </xf>
    <xf numFmtId="40" fontId="3" fillId="0" borderId="0" xfId="23" applyFont="1" applyProtection="1">
      <alignment/>
      <protection/>
    </xf>
    <xf numFmtId="189" fontId="0" fillId="0" borderId="0" xfId="23" applyNumberFormat="1" applyProtection="1">
      <alignment/>
      <protection/>
    </xf>
    <xf numFmtId="178" fontId="2" fillId="0" borderId="0" xfId="17" applyNumberFormat="1" applyFont="1" applyProtection="1" quotePrefix="1">
      <alignment/>
      <protection/>
    </xf>
    <xf numFmtId="183" fontId="0" fillId="0" borderId="0" xfId="21" applyProtection="1">
      <alignment/>
      <protection/>
    </xf>
    <xf numFmtId="193" fontId="2" fillId="0" borderId="0" xfId="0" applyNumberFormat="1" applyFont="1" applyAlignment="1" applyProtection="1">
      <alignment/>
      <protection/>
    </xf>
    <xf numFmtId="164" fontId="17" fillId="0" borderId="0" xfId="0" applyFont="1" applyAlignment="1">
      <alignment horizontal="right" vertical="top" wrapText="1"/>
    </xf>
    <xf numFmtId="164" fontId="0" fillId="0" borderId="0" xfId="0" applyAlignment="1">
      <alignment horizontal="right" vertical="top" wrapText="1"/>
    </xf>
    <xf numFmtId="164" fontId="18" fillId="0" borderId="0" xfId="0" applyFont="1" applyAlignment="1">
      <alignment horizontal="right" vertical="top" wrapText="1"/>
    </xf>
    <xf numFmtId="3" fontId="17" fillId="0" borderId="0" xfId="0" applyNumberFormat="1" applyFont="1" applyAlignment="1">
      <alignment horizontal="right" vertical="top" wrapText="1"/>
    </xf>
    <xf numFmtId="164" fontId="0" fillId="0" borderId="0" xfId="0" applyFont="1" applyAlignment="1">
      <alignment vertical="top" wrapText="1"/>
    </xf>
    <xf numFmtId="164" fontId="0" fillId="0" borderId="0" xfId="0" applyAlignment="1">
      <alignment vertical="top" wrapText="1"/>
    </xf>
    <xf numFmtId="1" fontId="2" fillId="0" borderId="0" xfId="0" applyFont="1" applyAlignment="1">
      <alignment vertical="top" wrapText="1"/>
    </xf>
    <xf numFmtId="164" fontId="4" fillId="0" borderId="0" xfId="0" applyFont="1" applyAlignment="1" applyProtection="1">
      <alignment horizontal="center"/>
      <protection/>
    </xf>
    <xf numFmtId="164" fontId="19" fillId="0" borderId="0" xfId="0" applyFont="1" applyAlignment="1" applyProtection="1">
      <alignment horizontal="center"/>
      <protection/>
    </xf>
    <xf numFmtId="164" fontId="20" fillId="0" borderId="0" xfId="0" applyFont="1" applyAlignment="1" applyProtection="1">
      <alignment horizontal="center"/>
      <protection/>
    </xf>
    <xf numFmtId="164" fontId="19" fillId="0" borderId="0" xfId="0" applyFont="1" applyAlignment="1" applyProtection="1">
      <alignment horizontal="center" wrapText="1"/>
      <protection/>
    </xf>
    <xf numFmtId="164" fontId="20" fillId="0" borderId="0" xfId="0" applyFont="1" applyAlignment="1" applyProtection="1">
      <alignment horizontal="center" wrapText="1"/>
      <protection/>
    </xf>
    <xf numFmtId="164" fontId="0" fillId="0" borderId="0" xfId="0" applyAlignment="1" applyProtection="1">
      <alignment vertical="top" wrapText="1"/>
      <protection/>
    </xf>
    <xf numFmtId="164" fontId="0" fillId="0" borderId="0" xfId="0" applyAlignment="1" applyProtection="1">
      <alignment/>
      <protection/>
    </xf>
    <xf numFmtId="164" fontId="0" fillId="0" borderId="0" xfId="0" applyFont="1" applyAlignment="1" applyProtection="1">
      <alignment horizontal="center" wrapText="1"/>
      <protection/>
    </xf>
    <xf numFmtId="164" fontId="0" fillId="0" borderId="0" xfId="0" applyFont="1" applyAlignment="1" applyProtection="1">
      <alignment wrapText="1"/>
      <protection/>
    </xf>
    <xf numFmtId="164" fontId="25" fillId="0" borderId="0" xfId="0" applyFont="1" applyAlignment="1" applyProtection="1">
      <alignment vertical="top" wrapText="1"/>
      <protection/>
    </xf>
    <xf numFmtId="164" fontId="0" fillId="0" borderId="0" xfId="0" applyAlignment="1" applyProtection="1">
      <alignment wrapText="1"/>
      <protection/>
    </xf>
    <xf numFmtId="164" fontId="4" fillId="0" borderId="0" xfId="0" applyFont="1" applyAlignment="1" applyProtection="1">
      <alignment horizontal="center" wrapText="1"/>
      <protection/>
    </xf>
    <xf numFmtId="180" fontId="0" fillId="0" borderId="0" xfId="0" applyNumberFormat="1" applyFont="1" applyAlignment="1" applyProtection="1" quotePrefix="1">
      <alignment vertical="top" wrapText="1"/>
      <protection/>
    </xf>
    <xf numFmtId="164" fontId="0" fillId="0" borderId="0" xfId="0" applyFont="1" applyAlignment="1" applyProtection="1" quotePrefix="1">
      <alignment vertical="top" wrapText="1"/>
      <protection/>
    </xf>
    <xf numFmtId="164" fontId="4" fillId="0" borderId="0" xfId="0" applyFont="1" applyAlignment="1">
      <alignment horizontal="center"/>
    </xf>
    <xf numFmtId="164" fontId="19" fillId="0" borderId="0" xfId="0" applyFont="1" applyAlignment="1">
      <alignment horizontal="center" vertical="top" wrapText="1"/>
    </xf>
    <xf numFmtId="164" fontId="20" fillId="0" borderId="0" xfId="0" applyFont="1" applyAlignment="1">
      <alignment horizontal="center" vertical="top" wrapText="1"/>
    </xf>
  </cellXfs>
  <cellStyles count="25">
    <cellStyle name="Normal" xfId="0"/>
    <cellStyle name="Curr ($1,234) L Black" xfId="15"/>
    <cellStyle name="Curr ($1,234) U Blue" xfId="16"/>
    <cellStyle name="Curr ($1,234.00) L Black" xfId="17"/>
    <cellStyle name="Curr ($1,234.00) U Blue" xfId="18"/>
    <cellStyle name="Curr (1,234) L Black" xfId="19"/>
    <cellStyle name="Curr (1,234) U Blue" xfId="20"/>
    <cellStyle name="Curr (1,234.0) L Black" xfId="21"/>
    <cellStyle name="Curr (1,234.0) U Blue" xfId="22"/>
    <cellStyle name="Curr (1,234.00) L Black" xfId="23"/>
    <cellStyle name="Curr (1,234.00) U Blue" xfId="24"/>
    <cellStyle name="Followed Hyperlink" xfId="25"/>
    <cellStyle name="Hyperlink" xfId="26"/>
    <cellStyle name="Num (1,234) L Black" xfId="27"/>
    <cellStyle name="Num (1,234) U Blue" xfId="28"/>
    <cellStyle name="Num (1,234.0) L Black" xfId="29"/>
    <cellStyle name="Num (1,234.0) U Blue" xfId="30"/>
    <cellStyle name="Num (1,234.10) L Black" xfId="31"/>
    <cellStyle name="Num (1,234.10) U Blue" xfId="32"/>
    <cellStyle name="Percent" xfId="33"/>
    <cellStyle name="Percent 00.00% L Black" xfId="34"/>
    <cellStyle name="Percent 00.00% U Blue" xfId="35"/>
    <cellStyle name="Standard_Anpassen der Amortisation" xfId="36"/>
    <cellStyle name="Währung [0]_Compiling Utility Macros" xfId="37"/>
    <cellStyle name="Währung_Compiling Utility Macros"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8</xdr:col>
      <xdr:colOff>638175</xdr:colOff>
      <xdr:row>41</xdr:row>
      <xdr:rowOff>28575</xdr:rowOff>
    </xdr:to>
    <xdr:pic>
      <xdr:nvPicPr>
        <xdr:cNvPr id="1" name="Picture 34"/>
        <xdr:cNvPicPr preferRelativeResize="1">
          <a:picLocks noChangeAspect="1"/>
        </xdr:cNvPicPr>
      </xdr:nvPicPr>
      <xdr:blipFill>
        <a:blip r:embed="rId1"/>
        <a:stretch>
          <a:fillRect/>
        </a:stretch>
      </xdr:blipFill>
      <xdr:spPr>
        <a:xfrm>
          <a:off x="781050" y="533400"/>
          <a:ext cx="5953125" cy="7410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2</xdr:row>
      <xdr:rowOff>95250</xdr:rowOff>
    </xdr:from>
    <xdr:to>
      <xdr:col>9</xdr:col>
      <xdr:colOff>628650</xdr:colOff>
      <xdr:row>41</xdr:row>
      <xdr:rowOff>47625</xdr:rowOff>
    </xdr:to>
    <xdr:pic>
      <xdr:nvPicPr>
        <xdr:cNvPr id="1" name="Picture 2"/>
        <xdr:cNvPicPr preferRelativeResize="1">
          <a:picLocks noChangeAspect="1"/>
        </xdr:cNvPicPr>
      </xdr:nvPicPr>
      <xdr:blipFill>
        <a:blip r:embed="rId1"/>
        <a:stretch>
          <a:fillRect/>
        </a:stretch>
      </xdr:blipFill>
      <xdr:spPr>
        <a:xfrm>
          <a:off x="171450" y="581025"/>
          <a:ext cx="7315200" cy="7381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600075</xdr:colOff>
      <xdr:row>2</xdr:row>
      <xdr:rowOff>76200</xdr:rowOff>
    </xdr:from>
    <xdr:to>
      <xdr:col>8</xdr:col>
      <xdr:colOff>495300</xdr:colOff>
      <xdr:row>40</xdr:row>
      <xdr:rowOff>114300</xdr:rowOff>
    </xdr:to>
    <xdr:pic>
      <xdr:nvPicPr>
        <xdr:cNvPr id="1" name="Picture 2"/>
        <xdr:cNvPicPr preferRelativeResize="1">
          <a:picLocks noChangeAspect="1"/>
        </xdr:cNvPicPr>
      </xdr:nvPicPr>
      <xdr:blipFill>
        <a:blip r:embed="rId1"/>
        <a:stretch>
          <a:fillRect/>
        </a:stretch>
      </xdr:blipFill>
      <xdr:spPr>
        <a:xfrm>
          <a:off x="1362075" y="561975"/>
          <a:ext cx="5229225" cy="7277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dimension ref="A1:I46"/>
  <sheetViews>
    <sheetView showGridLines="0" tabSelected="1" workbookViewId="0" topLeftCell="A1">
      <selection activeCell="A1" sqref="A1"/>
    </sheetView>
  </sheetViews>
  <sheetFormatPr defaultColWidth="8.88671875" defaultRowHeight="15"/>
  <cols>
    <col min="1" max="1" width="3.99609375" style="0" customWidth="1"/>
  </cols>
  <sheetData>
    <row r="1" spans="3:9" ht="21.75" customHeight="1">
      <c r="C1" s="121"/>
      <c r="D1" s="195" t="s">
        <v>302</v>
      </c>
      <c r="E1" s="195"/>
      <c r="F1" s="195"/>
      <c r="G1" s="195"/>
      <c r="H1" s="195"/>
      <c r="I1" s="196"/>
    </row>
    <row r="2" spans="3:9" ht="27.75" customHeight="1">
      <c r="C2" s="122"/>
      <c r="D2" s="122"/>
      <c r="E2" s="197" t="s">
        <v>301</v>
      </c>
      <c r="F2" s="197"/>
      <c r="G2" s="197"/>
      <c r="H2" s="197"/>
      <c r="I2" s="196"/>
    </row>
    <row r="3" spans="3:9" ht="23.25">
      <c r="C3" s="121"/>
      <c r="D3" s="121"/>
      <c r="E3" s="195" t="str">
        <f>"For Weight Range of "&amp;Input!D15&amp;" - "&amp;Input!D21&amp;" lbs"</f>
        <v>For Weight Range of 100 - 530 lbs</v>
      </c>
      <c r="F3" s="195"/>
      <c r="G3" s="195"/>
      <c r="H3" s="195"/>
      <c r="I3" s="196"/>
    </row>
    <row r="4" spans="3:9" ht="23.25">
      <c r="C4" s="123"/>
      <c r="D4" s="123"/>
      <c r="E4" s="198" t="str">
        <f>"Based on marketing "&amp;Input!D13&amp;" head per year"</f>
        <v>Based on marketing 100 head per year</v>
      </c>
      <c r="F4" s="198"/>
      <c r="G4" s="198"/>
      <c r="H4" s="198"/>
      <c r="I4" s="196"/>
    </row>
    <row r="8" spans="7:8" ht="15.75">
      <c r="G8" s="124" t="s">
        <v>286</v>
      </c>
      <c r="H8" s="125" t="s">
        <v>293</v>
      </c>
    </row>
    <row r="9" spans="1:9" ht="15">
      <c r="A9" s="11"/>
      <c r="B9" s="11"/>
      <c r="C9" s="11"/>
      <c r="D9" s="11"/>
      <c r="E9" s="11"/>
      <c r="F9" s="11"/>
      <c r="G9" s="11"/>
      <c r="H9" s="11"/>
      <c r="I9" s="11"/>
    </row>
    <row r="10" spans="1:9" ht="15" customHeight="1">
      <c r="A10" s="11"/>
      <c r="B10" s="199" t="s">
        <v>294</v>
      </c>
      <c r="C10" s="199"/>
      <c r="D10" s="199"/>
      <c r="E10" s="199"/>
      <c r="F10" s="199"/>
      <c r="G10" s="199"/>
      <c r="H10" s="199"/>
      <c r="I10" s="199"/>
    </row>
    <row r="11" spans="1:9" ht="15" customHeight="1">
      <c r="A11" s="11"/>
      <c r="B11" s="199"/>
      <c r="C11" s="199"/>
      <c r="D11" s="199"/>
      <c r="E11" s="199"/>
      <c r="F11" s="199"/>
      <c r="G11" s="199"/>
      <c r="H11" s="199"/>
      <c r="I11" s="199"/>
    </row>
    <row r="12" spans="1:9" ht="15" customHeight="1">
      <c r="A12" s="11"/>
      <c r="B12" s="199"/>
      <c r="C12" s="199"/>
      <c r="D12" s="199"/>
      <c r="E12" s="199"/>
      <c r="F12" s="199"/>
      <c r="G12" s="199"/>
      <c r="H12" s="199"/>
      <c r="I12" s="199"/>
    </row>
    <row r="13" spans="1:9" ht="15" customHeight="1">
      <c r="A13" s="11"/>
      <c r="B13" s="199"/>
      <c r="C13" s="199"/>
      <c r="D13" s="199"/>
      <c r="E13" s="199"/>
      <c r="F13" s="199"/>
      <c r="G13" s="199"/>
      <c r="H13" s="199"/>
      <c r="I13" s="199"/>
    </row>
    <row r="14" spans="1:9" ht="15">
      <c r="A14" s="11"/>
      <c r="B14" s="11"/>
      <c r="C14" s="11"/>
      <c r="D14" s="11"/>
      <c r="E14" s="11"/>
      <c r="F14" s="11"/>
      <c r="G14" s="11"/>
      <c r="H14" s="11"/>
      <c r="I14" s="11"/>
    </row>
    <row r="15" spans="1:9" ht="15" customHeight="1">
      <c r="A15" s="11"/>
      <c r="B15" s="199" t="s">
        <v>295</v>
      </c>
      <c r="C15" s="200"/>
      <c r="D15" s="200"/>
      <c r="E15" s="200"/>
      <c r="F15" s="200"/>
      <c r="G15" s="200"/>
      <c r="H15" s="200"/>
      <c r="I15" s="200"/>
    </row>
    <row r="16" spans="1:9" ht="15" customHeight="1">
      <c r="A16" s="11"/>
      <c r="B16" s="200"/>
      <c r="C16" s="200"/>
      <c r="D16" s="200"/>
      <c r="E16" s="200"/>
      <c r="F16" s="200"/>
      <c r="G16" s="200"/>
      <c r="H16" s="200"/>
      <c r="I16" s="200"/>
    </row>
    <row r="17" spans="1:9" ht="15" customHeight="1">
      <c r="A17" s="11"/>
      <c r="B17" s="200"/>
      <c r="C17" s="200"/>
      <c r="D17" s="200"/>
      <c r="E17" s="200"/>
      <c r="F17" s="200"/>
      <c r="G17" s="200"/>
      <c r="H17" s="200"/>
      <c r="I17" s="200"/>
    </row>
    <row r="18" spans="1:9" ht="15" customHeight="1">
      <c r="A18" s="11"/>
      <c r="B18" s="200"/>
      <c r="C18" s="200"/>
      <c r="D18" s="200"/>
      <c r="E18" s="200"/>
      <c r="F18" s="200"/>
      <c r="G18" s="200"/>
      <c r="H18" s="200"/>
      <c r="I18" s="200"/>
    </row>
    <row r="19" spans="1:9" ht="15" customHeight="1">
      <c r="A19" s="11"/>
      <c r="B19" s="200"/>
      <c r="C19" s="200"/>
      <c r="D19" s="200"/>
      <c r="E19" s="200"/>
      <c r="F19" s="200"/>
      <c r="G19" s="200"/>
      <c r="H19" s="200"/>
      <c r="I19" s="200"/>
    </row>
    <row r="20" spans="1:9" ht="15" customHeight="1">
      <c r="A20" s="11"/>
      <c r="B20" s="200"/>
      <c r="C20" s="200"/>
      <c r="D20" s="200"/>
      <c r="E20" s="200"/>
      <c r="F20" s="200"/>
      <c r="G20" s="200"/>
      <c r="H20" s="200"/>
      <c r="I20" s="200"/>
    </row>
    <row r="21" spans="1:9" ht="15" customHeight="1">
      <c r="A21" s="11"/>
      <c r="B21" s="200"/>
      <c r="C21" s="200"/>
      <c r="D21" s="200"/>
      <c r="E21" s="200"/>
      <c r="F21" s="200"/>
      <c r="G21" s="200"/>
      <c r="H21" s="200"/>
      <c r="I21" s="200"/>
    </row>
    <row r="22" spans="1:9" ht="15" customHeight="1">
      <c r="A22" s="11"/>
      <c r="B22" s="200"/>
      <c r="C22" s="200"/>
      <c r="D22" s="200"/>
      <c r="E22" s="200"/>
      <c r="F22" s="200"/>
      <c r="G22" s="200"/>
      <c r="H22" s="200"/>
      <c r="I22" s="200"/>
    </row>
    <row r="23" spans="1:9" ht="15" customHeight="1">
      <c r="A23" s="11"/>
      <c r="B23" s="113"/>
      <c r="C23" s="113"/>
      <c r="D23" s="113"/>
      <c r="E23" s="113"/>
      <c r="F23" s="113"/>
      <c r="G23" s="113"/>
      <c r="H23" s="113"/>
      <c r="I23" s="113"/>
    </row>
    <row r="24" spans="1:9" ht="15" customHeight="1">
      <c r="A24" s="11"/>
      <c r="B24" s="200" t="s">
        <v>296</v>
      </c>
      <c r="C24" s="200"/>
      <c r="D24" s="200"/>
      <c r="E24" s="200"/>
      <c r="F24" s="200"/>
      <c r="G24" s="200"/>
      <c r="H24" s="200"/>
      <c r="I24" s="200"/>
    </row>
    <row r="25" spans="1:9" ht="15" customHeight="1">
      <c r="A25" s="11"/>
      <c r="B25" s="200"/>
      <c r="C25" s="200"/>
      <c r="D25" s="200"/>
      <c r="E25" s="200"/>
      <c r="F25" s="200"/>
      <c r="G25" s="200"/>
      <c r="H25" s="200"/>
      <c r="I25" s="200"/>
    </row>
    <row r="26" spans="1:9" ht="15" customHeight="1">
      <c r="A26" s="11"/>
      <c r="B26" s="200"/>
      <c r="C26" s="200"/>
      <c r="D26" s="200"/>
      <c r="E26" s="200"/>
      <c r="F26" s="200"/>
      <c r="G26" s="200"/>
      <c r="H26" s="200"/>
      <c r="I26" s="200"/>
    </row>
    <row r="27" spans="1:9" ht="15" customHeight="1">
      <c r="A27" s="11"/>
      <c r="B27" s="114"/>
      <c r="C27" s="114"/>
      <c r="D27" s="114"/>
      <c r="E27" s="114"/>
      <c r="F27" s="114"/>
      <c r="G27" s="114"/>
      <c r="H27" s="114"/>
      <c r="I27" s="114"/>
    </row>
    <row r="28" spans="1:9" ht="15" customHeight="1">
      <c r="A28" s="11"/>
      <c r="B28" s="199" t="s">
        <v>297</v>
      </c>
      <c r="C28" s="199"/>
      <c r="D28" s="199"/>
      <c r="E28" s="199"/>
      <c r="F28" s="199"/>
      <c r="G28" s="199"/>
      <c r="H28" s="199"/>
      <c r="I28" s="199"/>
    </row>
    <row r="29" spans="1:9" ht="15" customHeight="1">
      <c r="A29" s="11"/>
      <c r="B29" s="199"/>
      <c r="C29" s="199"/>
      <c r="D29" s="199"/>
      <c r="E29" s="199"/>
      <c r="F29" s="199"/>
      <c r="G29" s="199"/>
      <c r="H29" s="199"/>
      <c r="I29" s="199"/>
    </row>
    <row r="30" spans="1:9" ht="15" customHeight="1">
      <c r="A30" s="11"/>
      <c r="B30" s="199"/>
      <c r="C30" s="199"/>
      <c r="D30" s="199"/>
      <c r="E30" s="199"/>
      <c r="F30" s="199"/>
      <c r="G30" s="199"/>
      <c r="H30" s="199"/>
      <c r="I30" s="199"/>
    </row>
    <row r="31" spans="1:9" ht="15" customHeight="1">
      <c r="A31" s="11"/>
      <c r="B31" s="199"/>
      <c r="C31" s="199"/>
      <c r="D31" s="199"/>
      <c r="E31" s="199"/>
      <c r="F31" s="199"/>
      <c r="G31" s="199"/>
      <c r="H31" s="199"/>
      <c r="I31" s="199"/>
    </row>
    <row r="32" spans="1:9" ht="15">
      <c r="A32" s="11"/>
      <c r="B32" s="11"/>
      <c r="C32" s="11"/>
      <c r="D32" s="11"/>
      <c r="E32" s="11"/>
      <c r="F32" s="11"/>
      <c r="G32" s="11"/>
      <c r="H32" s="11"/>
      <c r="I32" s="11"/>
    </row>
    <row r="33" spans="1:9" ht="15" customHeight="1">
      <c r="A33" s="11"/>
      <c r="B33" s="199" t="s">
        <v>298</v>
      </c>
      <c r="C33" s="199"/>
      <c r="D33" s="199"/>
      <c r="E33" s="199"/>
      <c r="F33" s="199"/>
      <c r="G33" s="199"/>
      <c r="H33" s="199"/>
      <c r="I33" s="199"/>
    </row>
    <row r="34" spans="1:9" ht="15">
      <c r="A34" s="11"/>
      <c r="B34" s="199"/>
      <c r="C34" s="199"/>
      <c r="D34" s="199"/>
      <c r="E34" s="199"/>
      <c r="F34" s="199"/>
      <c r="G34" s="199"/>
      <c r="H34" s="199"/>
      <c r="I34" s="199"/>
    </row>
    <row r="35" spans="1:9" ht="15" customHeight="1">
      <c r="A35" s="11"/>
      <c r="B35" s="199"/>
      <c r="C35" s="199"/>
      <c r="D35" s="199"/>
      <c r="E35" s="199"/>
      <c r="F35" s="199"/>
      <c r="G35" s="199"/>
      <c r="H35" s="199"/>
      <c r="I35" s="199"/>
    </row>
    <row r="36" spans="1:9" ht="15">
      <c r="A36" s="11"/>
      <c r="B36" s="199"/>
      <c r="C36" s="199"/>
      <c r="D36" s="199"/>
      <c r="E36" s="199"/>
      <c r="F36" s="199"/>
      <c r="G36" s="199"/>
      <c r="H36" s="199"/>
      <c r="I36" s="199"/>
    </row>
    <row r="37" spans="1:9" ht="15" customHeight="1">
      <c r="A37" s="11"/>
      <c r="B37" s="199"/>
      <c r="C37" s="199"/>
      <c r="D37" s="199"/>
      <c r="E37" s="199"/>
      <c r="F37" s="199"/>
      <c r="G37" s="199"/>
      <c r="H37" s="199"/>
      <c r="I37" s="199"/>
    </row>
    <row r="38" spans="1:9" ht="15" customHeight="1">
      <c r="A38" s="11"/>
      <c r="B38" s="200"/>
      <c r="C38" s="200"/>
      <c r="D38" s="200"/>
      <c r="E38" s="200"/>
      <c r="F38" s="200"/>
      <c r="G38" s="200"/>
      <c r="H38" s="200"/>
      <c r="I38" s="200"/>
    </row>
    <row r="39" spans="1:9" ht="15">
      <c r="A39" s="11"/>
      <c r="B39" s="115"/>
      <c r="C39" s="115"/>
      <c r="D39" s="115"/>
      <c r="E39" s="115"/>
      <c r="F39" s="115"/>
      <c r="G39" s="115"/>
      <c r="H39" s="115"/>
      <c r="I39" s="115"/>
    </row>
    <row r="40" spans="1:9" ht="15" customHeight="1">
      <c r="A40" s="11"/>
      <c r="B40" s="201" t="s">
        <v>274</v>
      </c>
      <c r="C40" s="201"/>
      <c r="D40" s="201"/>
      <c r="E40" s="201"/>
      <c r="F40" s="201"/>
      <c r="G40" s="201"/>
      <c r="H40" s="201"/>
      <c r="I40" s="201"/>
    </row>
    <row r="41" spans="1:9" ht="15">
      <c r="A41" s="11"/>
      <c r="B41" s="201"/>
      <c r="C41" s="201"/>
      <c r="D41" s="201"/>
      <c r="E41" s="201"/>
      <c r="F41" s="201"/>
      <c r="G41" s="201"/>
      <c r="H41" s="201"/>
      <c r="I41" s="201"/>
    </row>
    <row r="42" spans="2:9" ht="15">
      <c r="B42" s="201"/>
      <c r="C42" s="201"/>
      <c r="D42" s="201"/>
      <c r="E42" s="201"/>
      <c r="F42" s="201"/>
      <c r="G42" s="201"/>
      <c r="H42" s="201"/>
      <c r="I42" s="201"/>
    </row>
    <row r="43" spans="2:9" ht="15" customHeight="1">
      <c r="B43" s="201"/>
      <c r="C43" s="201"/>
      <c r="D43" s="201"/>
      <c r="E43" s="201"/>
      <c r="F43" s="201"/>
      <c r="G43" s="201"/>
      <c r="H43" s="201"/>
      <c r="I43" s="201"/>
    </row>
    <row r="44" spans="2:9" ht="20.25" customHeight="1">
      <c r="B44" s="201"/>
      <c r="C44" s="201"/>
      <c r="D44" s="201"/>
      <c r="E44" s="201"/>
      <c r="F44" s="201"/>
      <c r="G44" s="201"/>
      <c r="H44" s="201"/>
      <c r="I44" s="201"/>
    </row>
    <row r="45" spans="2:9" ht="15" customHeight="1">
      <c r="B45" s="116"/>
      <c r="C45" s="116"/>
      <c r="D45" s="116"/>
      <c r="E45" s="116"/>
      <c r="F45" s="116"/>
      <c r="G45" s="116"/>
      <c r="H45" s="116"/>
      <c r="I45" s="116"/>
    </row>
    <row r="46" spans="2:9" ht="15.75">
      <c r="B46" s="116"/>
      <c r="C46" s="116"/>
      <c r="D46" s="116"/>
      <c r="E46" s="116"/>
      <c r="F46" s="116"/>
      <c r="G46" s="116"/>
      <c r="H46" s="116"/>
      <c r="I46" s="116"/>
    </row>
    <row r="47" ht="15" customHeight="1"/>
    <row r="49" ht="15" customHeight="1"/>
    <row r="51" ht="15" customHeight="1"/>
  </sheetData>
  <sheetProtection password="C7C6" sheet="1" objects="1" scenarios="1"/>
  <mergeCells count="10">
    <mergeCell ref="B10:I13"/>
    <mergeCell ref="B24:I26"/>
    <mergeCell ref="B40:I44"/>
    <mergeCell ref="B28:I31"/>
    <mergeCell ref="B15:I22"/>
    <mergeCell ref="B33:I38"/>
    <mergeCell ref="D1:I1"/>
    <mergeCell ref="E2:I2"/>
    <mergeCell ref="E3:I3"/>
    <mergeCell ref="E4:I4"/>
  </mergeCells>
  <printOptions horizontalCentered="1"/>
  <pageMargins left="0.7480314960629921" right="0.7480314960629921" top="0.984251968503937" bottom="0.984251968503937" header="0.5118110236220472" footer="0.5118110236220472"/>
  <pageSetup horizontalDpi="180" verticalDpi="180" orientation="portrait" scale="88" r:id="rId2"/>
  <legacyDrawing r:id="rId1"/>
</worksheet>
</file>

<file path=xl/worksheets/sheet2.xml><?xml version="1.0" encoding="utf-8"?>
<worksheet xmlns="http://schemas.openxmlformats.org/spreadsheetml/2006/main" xmlns:r="http://schemas.openxmlformats.org/officeDocument/2006/relationships">
  <sheetPr codeName="Sheet1"/>
  <dimension ref="A2:I132"/>
  <sheetViews>
    <sheetView showGridLines="0" workbookViewId="0" topLeftCell="A1">
      <selection activeCell="A1" sqref="A1"/>
    </sheetView>
  </sheetViews>
  <sheetFormatPr defaultColWidth="8.88671875" defaultRowHeight="15"/>
  <cols>
    <col min="1" max="1" width="25.10546875" style="17" customWidth="1"/>
    <col min="2" max="2" width="8.6640625" style="17" customWidth="1"/>
    <col min="3" max="3" width="9.6640625" style="17" customWidth="1"/>
    <col min="4" max="4" width="12.6640625" style="17" customWidth="1"/>
    <col min="5" max="5" width="9.4453125" style="17" customWidth="1"/>
    <col min="6" max="6" width="2.5546875" style="17" customWidth="1"/>
    <col min="7" max="7" width="7.77734375" style="17" customWidth="1"/>
    <col min="8" max="8" width="7.6640625" style="17" bestFit="1" customWidth="1"/>
    <col min="9" max="9" width="11.5546875" style="17" customWidth="1"/>
    <col min="10" max="10" width="2.3359375" style="17" customWidth="1"/>
    <col min="11" max="16384" width="11.5546875" style="17" customWidth="1"/>
  </cols>
  <sheetData>
    <row r="1" ht="15"/>
    <row r="2" spans="1:7" ht="18">
      <c r="A2" s="202" t="s">
        <v>174</v>
      </c>
      <c r="B2" s="202"/>
      <c r="C2" s="202"/>
      <c r="D2" s="202"/>
      <c r="E2" s="202"/>
      <c r="F2" s="202"/>
      <c r="G2" s="202"/>
    </row>
    <row r="3" ht="15"/>
    <row r="4" spans="1:8" ht="18">
      <c r="A4" s="205" t="s">
        <v>71</v>
      </c>
      <c r="B4" s="206"/>
      <c r="C4" s="206"/>
      <c r="D4" s="206"/>
      <c r="E4" s="206"/>
      <c r="F4" s="206"/>
      <c r="G4" s="206"/>
      <c r="H4" s="206"/>
    </row>
    <row r="5" ht="15">
      <c r="A5" s="17" t="s">
        <v>119</v>
      </c>
    </row>
    <row r="6" ht="15">
      <c r="A6" s="17" t="s">
        <v>120</v>
      </c>
    </row>
    <row r="7" ht="15">
      <c r="A7" s="17" t="s">
        <v>1</v>
      </c>
    </row>
    <row r="8" ht="15"/>
    <row r="9" ht="15"/>
    <row r="10" ht="15"/>
    <row r="11" spans="1:7" ht="18">
      <c r="A11" s="203" t="s">
        <v>198</v>
      </c>
      <c r="B11" s="204"/>
      <c r="C11" s="204"/>
      <c r="D11" s="204"/>
      <c r="E11" s="204"/>
      <c r="F11" s="204"/>
      <c r="G11" s="204"/>
    </row>
    <row r="12" ht="15"/>
    <row r="13" spans="1:6" ht="15.75">
      <c r="A13" s="17" t="s">
        <v>194</v>
      </c>
      <c r="D13" s="150">
        <v>100</v>
      </c>
      <c r="E13" s="127" t="s">
        <v>319</v>
      </c>
      <c r="F13" s="19"/>
    </row>
    <row r="14" spans="1:6" ht="15.75">
      <c r="A14" s="17" t="s">
        <v>195</v>
      </c>
      <c r="D14" s="151">
        <v>10</v>
      </c>
      <c r="E14" s="127" t="s">
        <v>126</v>
      </c>
      <c r="F14" s="19"/>
    </row>
    <row r="15" spans="1:6" ht="15.75">
      <c r="A15" s="17" t="s">
        <v>196</v>
      </c>
      <c r="D15" s="150">
        <v>100</v>
      </c>
      <c r="E15" s="127" t="s">
        <v>201</v>
      </c>
      <c r="F15" s="19"/>
    </row>
    <row r="16" spans="1:6" ht="15.75">
      <c r="A16" s="17" t="s">
        <v>249</v>
      </c>
      <c r="D16" s="151">
        <v>5</v>
      </c>
      <c r="E16" s="127" t="s">
        <v>126</v>
      </c>
      <c r="F16" s="19"/>
    </row>
    <row r="17" spans="1:6" ht="15.75">
      <c r="A17" s="17" t="s">
        <v>250</v>
      </c>
      <c r="D17" s="152">
        <v>200</v>
      </c>
      <c r="E17" s="127" t="s">
        <v>147</v>
      </c>
      <c r="F17" s="19"/>
    </row>
    <row r="18" spans="1:6" ht="15.75">
      <c r="A18" s="17" t="s">
        <v>251</v>
      </c>
      <c r="D18" s="150">
        <v>130</v>
      </c>
      <c r="E18" s="127" t="s">
        <v>201</v>
      </c>
      <c r="F18" s="19"/>
    </row>
    <row r="19" spans="1:6" ht="15.75">
      <c r="A19" s="17" t="s">
        <v>234</v>
      </c>
      <c r="D19" s="153">
        <v>10</v>
      </c>
      <c r="E19" s="127" t="s">
        <v>126</v>
      </c>
      <c r="F19" s="19"/>
    </row>
    <row r="20" spans="1:6" ht="15.75">
      <c r="A20" s="17" t="s">
        <v>223</v>
      </c>
      <c r="D20" s="154">
        <v>0.76</v>
      </c>
      <c r="E20" s="127" t="s">
        <v>122</v>
      </c>
      <c r="F20" s="19"/>
    </row>
    <row r="21" spans="1:6" ht="15.75">
      <c r="A21" s="17" t="s">
        <v>220</v>
      </c>
      <c r="D21" s="150">
        <v>530</v>
      </c>
      <c r="E21" s="127" t="s">
        <v>201</v>
      </c>
      <c r="F21" s="19"/>
    </row>
    <row r="22" spans="1:6" ht="15.75">
      <c r="A22" s="17" t="s">
        <v>252</v>
      </c>
      <c r="D22" s="151">
        <v>5</v>
      </c>
      <c r="E22" s="127" t="s">
        <v>126</v>
      </c>
      <c r="F22" s="19"/>
    </row>
    <row r="23" spans="1:6" ht="15.75">
      <c r="A23" s="17" t="s">
        <v>235</v>
      </c>
      <c r="D23" s="151">
        <v>2</v>
      </c>
      <c r="E23" s="127" t="s">
        <v>126</v>
      </c>
      <c r="F23" s="19"/>
    </row>
    <row r="24" spans="1:6" ht="15.75">
      <c r="A24" s="17" t="s">
        <v>197</v>
      </c>
      <c r="D24" s="152">
        <v>150</v>
      </c>
      <c r="E24" s="127" t="s">
        <v>147</v>
      </c>
      <c r="F24" s="19"/>
    </row>
    <row r="25" spans="1:8" ht="15.75">
      <c r="A25" s="17" t="s">
        <v>224</v>
      </c>
      <c r="D25" s="155">
        <v>2</v>
      </c>
      <c r="E25" s="127" t="s">
        <v>122</v>
      </c>
      <c r="F25" s="19"/>
      <c r="H25" s="17" t="s">
        <v>0</v>
      </c>
    </row>
    <row r="26" ht="15">
      <c r="H26" s="17" t="s">
        <v>0</v>
      </c>
    </row>
    <row r="27" spans="1:6" ht="15.75">
      <c r="A27" s="17" t="s">
        <v>199</v>
      </c>
      <c r="D27" s="135">
        <f>ROUND((D18-(D15-(D15*D16/100)))/D20,0)</f>
        <v>46</v>
      </c>
      <c r="E27" s="19" t="s">
        <v>320</v>
      </c>
      <c r="F27" s="19"/>
    </row>
    <row r="28" spans="1:5" ht="15.75">
      <c r="A28" s="17" t="s">
        <v>200</v>
      </c>
      <c r="D28" s="135">
        <f>ROUND((D21-D18)/D25,0)</f>
        <v>200</v>
      </c>
      <c r="E28" s="19" t="s">
        <v>320</v>
      </c>
    </row>
    <row r="29" spans="1:8" ht="15">
      <c r="A29" s="98" t="s">
        <v>208</v>
      </c>
      <c r="H29" s="17" t="s">
        <v>0</v>
      </c>
    </row>
    <row r="30" ht="15"/>
    <row r="31" spans="1:7" ht="18">
      <c r="A31" s="203" t="s">
        <v>212</v>
      </c>
      <c r="B31" s="204"/>
      <c r="C31" s="204"/>
      <c r="D31" s="204"/>
      <c r="E31" s="204"/>
      <c r="F31" s="204"/>
      <c r="G31" s="204"/>
    </row>
    <row r="32" spans="2:8" ht="15.75">
      <c r="B32" s="142" t="s">
        <v>187</v>
      </c>
      <c r="C32" s="143"/>
      <c r="D32" s="144" t="s">
        <v>213</v>
      </c>
      <c r="E32" s="145"/>
      <c r="F32" s="22"/>
      <c r="G32" s="130" t="s">
        <v>115</v>
      </c>
      <c r="H32" s="20"/>
    </row>
    <row r="33" spans="2:8" ht="15.75">
      <c r="B33" s="143"/>
      <c r="C33" s="143"/>
      <c r="D33" s="146" t="s">
        <v>72</v>
      </c>
      <c r="E33" s="145"/>
      <c r="F33" s="22"/>
      <c r="G33" s="23" t="s">
        <v>116</v>
      </c>
      <c r="H33" s="20"/>
    </row>
    <row r="34" spans="1:6" ht="15.75">
      <c r="A34" s="18" t="s">
        <v>209</v>
      </c>
      <c r="E34" s="19"/>
      <c r="F34" s="19"/>
    </row>
    <row r="35" spans="1:9" ht="15.75">
      <c r="A35" s="17" t="s">
        <v>210</v>
      </c>
      <c r="B35" s="152">
        <v>59</v>
      </c>
      <c r="C35" s="17" t="s">
        <v>175</v>
      </c>
      <c r="D35" s="151">
        <v>1.2</v>
      </c>
      <c r="E35" s="19" t="s">
        <v>122</v>
      </c>
      <c r="F35" s="19"/>
      <c r="G35" s="135">
        <f>D27</f>
        <v>46</v>
      </c>
      <c r="H35" s="102"/>
      <c r="I35" s="27"/>
    </row>
    <row r="36" spans="1:8" ht="15.75">
      <c r="A36" s="17" t="s">
        <v>275</v>
      </c>
      <c r="B36" s="152">
        <v>10.75</v>
      </c>
      <c r="C36" s="17" t="s">
        <v>179</v>
      </c>
      <c r="D36" s="151">
        <v>1.2</v>
      </c>
      <c r="E36" s="19" t="s">
        <v>122</v>
      </c>
      <c r="F36" s="19"/>
      <c r="G36" s="135">
        <f>G35+14</f>
        <v>60</v>
      </c>
      <c r="H36" s="102"/>
    </row>
    <row r="37" spans="1:8" ht="15.75">
      <c r="A37" s="18" t="s">
        <v>211</v>
      </c>
      <c r="B37" s="133"/>
      <c r="D37" s="132"/>
      <c r="E37" s="19"/>
      <c r="F37" s="19"/>
      <c r="G37" s="135"/>
      <c r="H37" s="102"/>
    </row>
    <row r="38" spans="1:8" ht="15.75">
      <c r="A38" s="17" t="s">
        <v>202</v>
      </c>
      <c r="B38" s="152">
        <v>2.85</v>
      </c>
      <c r="C38" s="91" t="s">
        <v>203</v>
      </c>
      <c r="D38" s="151">
        <v>5.6</v>
      </c>
      <c r="E38" s="19" t="s">
        <v>122</v>
      </c>
      <c r="F38" s="19"/>
      <c r="G38" s="135">
        <f>D28</f>
        <v>200</v>
      </c>
      <c r="H38" s="102"/>
    </row>
    <row r="39" spans="1:8" ht="15.75">
      <c r="A39" s="17" t="s">
        <v>321</v>
      </c>
      <c r="B39" s="152">
        <v>6.7</v>
      </c>
      <c r="C39" s="17" t="s">
        <v>179</v>
      </c>
      <c r="D39" s="151">
        <v>1</v>
      </c>
      <c r="E39" s="19" t="s">
        <v>122</v>
      </c>
      <c r="F39" s="19"/>
      <c r="G39" s="135">
        <f>D28</f>
        <v>200</v>
      </c>
      <c r="H39" s="102"/>
    </row>
    <row r="40" spans="1:8" ht="15.75">
      <c r="A40" s="17" t="s">
        <v>183</v>
      </c>
      <c r="B40" s="152">
        <v>80</v>
      </c>
      <c r="C40" s="17" t="s">
        <v>38</v>
      </c>
      <c r="D40" s="151">
        <v>1.9</v>
      </c>
      <c r="E40" s="19" t="s">
        <v>122</v>
      </c>
      <c r="F40" s="19"/>
      <c r="G40" s="135">
        <f>D28</f>
        <v>200</v>
      </c>
      <c r="H40" s="102"/>
    </row>
    <row r="41" spans="1:8" ht="15.75">
      <c r="A41" s="25" t="s">
        <v>272</v>
      </c>
      <c r="B41" s="152">
        <v>12.5</v>
      </c>
      <c r="C41" s="17" t="s">
        <v>179</v>
      </c>
      <c r="D41" s="151">
        <v>0.2</v>
      </c>
      <c r="E41" s="19" t="s">
        <v>122</v>
      </c>
      <c r="G41" s="135">
        <f>D28</f>
        <v>200</v>
      </c>
      <c r="H41" s="102"/>
    </row>
    <row r="42" spans="5:7" ht="15.75">
      <c r="E42" s="26"/>
      <c r="F42" s="26"/>
      <c r="G42" s="27" t="s">
        <v>0</v>
      </c>
    </row>
    <row r="43" spans="1:6" ht="15.75">
      <c r="A43" s="18" t="s">
        <v>123</v>
      </c>
      <c r="E43" s="19"/>
      <c r="F43" s="19"/>
    </row>
    <row r="44" ht="15.75">
      <c r="A44" s="18" t="s">
        <v>8</v>
      </c>
    </row>
    <row r="45" spans="1:5" ht="15.75">
      <c r="A45" s="34" t="s">
        <v>214</v>
      </c>
      <c r="D45" s="59">
        <f>D17</f>
        <v>200</v>
      </c>
      <c r="E45" s="91" t="s">
        <v>147</v>
      </c>
    </row>
    <row r="46" spans="1:5" ht="15.75">
      <c r="A46" s="17" t="s">
        <v>154</v>
      </c>
      <c r="D46" s="152">
        <v>5</v>
      </c>
      <c r="E46" s="17" t="s">
        <v>153</v>
      </c>
    </row>
    <row r="47" spans="1:5" ht="15.75">
      <c r="A47" s="17" t="s">
        <v>155</v>
      </c>
      <c r="D47" s="152">
        <v>1.25</v>
      </c>
      <c r="E47" s="17" t="s">
        <v>147</v>
      </c>
    </row>
    <row r="49" spans="1:7" ht="15.75">
      <c r="A49" s="18" t="s">
        <v>164</v>
      </c>
      <c r="C49" s="17" t="s">
        <v>0</v>
      </c>
      <c r="D49" s="17" t="s">
        <v>0</v>
      </c>
      <c r="G49" s="27" t="s">
        <v>0</v>
      </c>
    </row>
    <row r="50" spans="1:7" ht="15.75">
      <c r="A50" s="17" t="s">
        <v>9</v>
      </c>
      <c r="C50" s="17" t="s">
        <v>0</v>
      </c>
      <c r="D50" s="151">
        <v>2</v>
      </c>
      <c r="E50" s="17" t="s">
        <v>215</v>
      </c>
      <c r="G50" s="27" t="s">
        <v>0</v>
      </c>
    </row>
    <row r="51" spans="1:7" ht="15.75">
      <c r="A51" s="17" t="s">
        <v>165</v>
      </c>
      <c r="C51" s="17" t="s">
        <v>0</v>
      </c>
      <c r="D51" s="152">
        <v>20</v>
      </c>
      <c r="E51" s="17" t="s">
        <v>38</v>
      </c>
      <c r="G51" s="27" t="s">
        <v>0</v>
      </c>
    </row>
    <row r="52" ht="15.75">
      <c r="D52" s="133"/>
    </row>
    <row r="53" spans="1:7" ht="15.75">
      <c r="A53" s="18" t="s">
        <v>73</v>
      </c>
      <c r="D53" s="17" t="s">
        <v>0</v>
      </c>
      <c r="E53" s="133" t="s">
        <v>0</v>
      </c>
      <c r="F53" s="19"/>
      <c r="G53" s="27" t="s">
        <v>0</v>
      </c>
    </row>
    <row r="54" spans="1:7" ht="15.75">
      <c r="A54" s="18" t="s">
        <v>74</v>
      </c>
      <c r="C54" s="24"/>
      <c r="D54" s="23" t="s">
        <v>186</v>
      </c>
      <c r="G54" s="27" t="s">
        <v>0</v>
      </c>
    </row>
    <row r="55" spans="1:7" ht="15.75">
      <c r="A55" s="17" t="s">
        <v>305</v>
      </c>
      <c r="C55" s="19"/>
      <c r="D55" s="156">
        <v>0.1</v>
      </c>
      <c r="G55" s="27"/>
    </row>
    <row r="56" spans="1:7" ht="15.75">
      <c r="A56" s="17" t="s">
        <v>306</v>
      </c>
      <c r="D56" s="156">
        <v>0.15</v>
      </c>
      <c r="G56" s="136"/>
    </row>
    <row r="57" spans="1:7" ht="15.75">
      <c r="A57" s="17" t="s">
        <v>307</v>
      </c>
      <c r="C57" s="17" t="s">
        <v>0</v>
      </c>
      <c r="D57" s="156">
        <v>0.54</v>
      </c>
      <c r="G57" s="136"/>
    </row>
    <row r="58" spans="1:7" ht="15.75">
      <c r="A58" s="17" t="s">
        <v>308</v>
      </c>
      <c r="D58" s="156">
        <v>1.61</v>
      </c>
      <c r="G58" s="136"/>
    </row>
    <row r="59" spans="1:7" ht="15.75">
      <c r="A59" s="17" t="s">
        <v>309</v>
      </c>
      <c r="D59" s="156">
        <v>0.05</v>
      </c>
      <c r="G59" s="136"/>
    </row>
    <row r="60" spans="1:7" ht="15.75">
      <c r="A60" s="17" t="s">
        <v>310</v>
      </c>
      <c r="D60" s="156">
        <v>4.24</v>
      </c>
      <c r="G60" s="136"/>
    </row>
    <row r="61" spans="1:7" ht="15.75">
      <c r="A61" s="17" t="s">
        <v>311</v>
      </c>
      <c r="C61" s="17" t="s">
        <v>0</v>
      </c>
      <c r="D61" s="156">
        <v>1.65</v>
      </c>
      <c r="G61" s="136"/>
    </row>
    <row r="62" spans="1:7" ht="15.75">
      <c r="A62" s="17" t="s">
        <v>312</v>
      </c>
      <c r="D62" s="156">
        <v>3</v>
      </c>
      <c r="G62" s="136"/>
    </row>
    <row r="63" spans="1:7" ht="15.75">
      <c r="A63" s="17" t="s">
        <v>313</v>
      </c>
      <c r="D63" s="156">
        <v>0.02</v>
      </c>
      <c r="G63" s="136"/>
    </row>
    <row r="64" spans="1:7" ht="15.75">
      <c r="A64" s="17" t="s">
        <v>314</v>
      </c>
      <c r="D64" s="156">
        <v>0.7</v>
      </c>
      <c r="G64" s="136"/>
    </row>
    <row r="65" spans="1:7" ht="15.75">
      <c r="A65" s="17" t="s">
        <v>315</v>
      </c>
      <c r="D65" s="156">
        <v>1</v>
      </c>
      <c r="G65" s="136"/>
    </row>
    <row r="66" spans="1:7" ht="15.75">
      <c r="A66" s="17" t="s">
        <v>316</v>
      </c>
      <c r="D66" s="156">
        <v>1</v>
      </c>
      <c r="G66" s="136"/>
    </row>
    <row r="68" ht="15.75">
      <c r="A68" s="18" t="s">
        <v>75</v>
      </c>
    </row>
    <row r="69" spans="1:4" ht="15.75">
      <c r="A69" s="17" t="s">
        <v>156</v>
      </c>
      <c r="D69" s="157">
        <v>300</v>
      </c>
    </row>
    <row r="70" spans="1:4" ht="15.75">
      <c r="A70" s="17" t="s">
        <v>10</v>
      </c>
      <c r="D70" s="157">
        <v>100</v>
      </c>
    </row>
    <row r="71" spans="1:7" ht="15">
      <c r="A71" s="17" t="s">
        <v>0</v>
      </c>
      <c r="C71" s="17" t="s">
        <v>0</v>
      </c>
      <c r="D71" s="17" t="s">
        <v>0</v>
      </c>
      <c r="G71" s="27" t="s">
        <v>0</v>
      </c>
    </row>
    <row r="72" spans="1:6" ht="15.75">
      <c r="A72" s="18" t="s">
        <v>76</v>
      </c>
      <c r="E72" s="19" t="s">
        <v>0</v>
      </c>
      <c r="F72" s="19"/>
    </row>
    <row r="73" spans="1:4" ht="15.75">
      <c r="A73" s="17" t="s">
        <v>170</v>
      </c>
      <c r="D73" s="157">
        <v>800</v>
      </c>
    </row>
    <row r="75" spans="1:6" ht="15.75">
      <c r="A75" s="18" t="s">
        <v>77</v>
      </c>
      <c r="E75" s="19" t="s">
        <v>0</v>
      </c>
      <c r="F75" s="19"/>
    </row>
    <row r="76" spans="1:5" ht="15">
      <c r="A76" s="17" t="s">
        <v>157</v>
      </c>
      <c r="D76" s="137">
        <f>D21</f>
        <v>530</v>
      </c>
      <c r="E76" s="17" t="s">
        <v>339</v>
      </c>
    </row>
    <row r="77" spans="1:5" ht="15.75">
      <c r="A77" s="17" t="s">
        <v>158</v>
      </c>
      <c r="D77" s="156">
        <v>1.25</v>
      </c>
      <c r="E77" s="17" t="s">
        <v>147</v>
      </c>
    </row>
    <row r="79" spans="1:6" ht="15.75">
      <c r="A79" s="18" t="s">
        <v>78</v>
      </c>
      <c r="E79" s="19" t="s">
        <v>0</v>
      </c>
      <c r="F79" s="19"/>
    </row>
    <row r="80" spans="1:5" ht="15.75">
      <c r="A80" s="17" t="s">
        <v>159</v>
      </c>
      <c r="D80" s="156">
        <v>15</v>
      </c>
      <c r="E80" s="17" t="s">
        <v>153</v>
      </c>
    </row>
    <row r="81" spans="1:5" ht="15">
      <c r="A81" s="17" t="s">
        <v>160</v>
      </c>
      <c r="C81" s="17" t="s">
        <v>0</v>
      </c>
      <c r="D81" s="138">
        <f>D24</f>
        <v>150</v>
      </c>
      <c r="E81" s="17" t="s">
        <v>147</v>
      </c>
    </row>
    <row r="82" spans="1:5" ht="15.75">
      <c r="A82" s="17" t="s">
        <v>161</v>
      </c>
      <c r="D82" s="156">
        <v>0.75</v>
      </c>
      <c r="E82" s="17" t="s">
        <v>153</v>
      </c>
    </row>
    <row r="84" spans="1:7" ht="15.75">
      <c r="A84" s="18" t="s">
        <v>79</v>
      </c>
      <c r="C84" s="17" t="s">
        <v>0</v>
      </c>
      <c r="D84" s="17" t="s">
        <v>0</v>
      </c>
      <c r="E84" s="19" t="s">
        <v>0</v>
      </c>
      <c r="F84" s="19"/>
      <c r="G84" s="27" t="s">
        <v>0</v>
      </c>
    </row>
    <row r="85" spans="1:4" ht="15.75">
      <c r="A85" s="17" t="s">
        <v>11</v>
      </c>
      <c r="D85" s="158">
        <v>500</v>
      </c>
    </row>
    <row r="87" ht="15.75">
      <c r="A87" s="18" t="s">
        <v>80</v>
      </c>
    </row>
    <row r="88" ht="15">
      <c r="A88" s="17" t="s">
        <v>81</v>
      </c>
    </row>
    <row r="89" spans="1:5" ht="15.75">
      <c r="A89" s="17" t="s">
        <v>124</v>
      </c>
      <c r="D89" s="156">
        <v>0.4</v>
      </c>
      <c r="E89" s="17" t="s">
        <v>166</v>
      </c>
    </row>
    <row r="90" spans="1:5" ht="15.75">
      <c r="A90" s="17" t="s">
        <v>125</v>
      </c>
      <c r="D90" s="156">
        <v>0.5</v>
      </c>
      <c r="E90" s="17" t="s">
        <v>166</v>
      </c>
    </row>
    <row r="91" spans="1:5" ht="15.75">
      <c r="A91" s="17" t="s">
        <v>12</v>
      </c>
      <c r="D91" s="156">
        <v>48</v>
      </c>
      <c r="E91" s="17" t="s">
        <v>162</v>
      </c>
    </row>
    <row r="93" ht="15.75">
      <c r="A93" s="18" t="s">
        <v>82</v>
      </c>
    </row>
    <row r="94" spans="1:4" ht="15.75">
      <c r="A94" s="17" t="s">
        <v>13</v>
      </c>
      <c r="D94" s="158">
        <v>200</v>
      </c>
    </row>
    <row r="95" ht="15">
      <c r="H95" s="17" t="s">
        <v>0</v>
      </c>
    </row>
    <row r="96" spans="1:5" ht="15.75">
      <c r="A96" s="17" t="s">
        <v>127</v>
      </c>
      <c r="D96" s="151">
        <v>6</v>
      </c>
      <c r="E96" s="17" t="s">
        <v>126</v>
      </c>
    </row>
    <row r="97" spans="1:5" ht="15.75">
      <c r="A97" s="17" t="s">
        <v>128</v>
      </c>
      <c r="D97" s="151">
        <v>4</v>
      </c>
      <c r="E97" s="17" t="s">
        <v>126</v>
      </c>
    </row>
    <row r="98" ht="15">
      <c r="H98" s="17" t="s">
        <v>0</v>
      </c>
    </row>
    <row r="99" spans="1:8" ht="18">
      <c r="A99" s="205" t="s">
        <v>118</v>
      </c>
      <c r="B99" s="206"/>
      <c r="C99" s="206"/>
      <c r="D99" s="206"/>
      <c r="E99" s="206"/>
      <c r="F99" s="206"/>
      <c r="G99" s="206"/>
      <c r="H99" s="206"/>
    </row>
    <row r="100" spans="1:7" ht="15.75">
      <c r="A100" s="17" t="s">
        <v>285</v>
      </c>
      <c r="D100" s="20" t="s">
        <v>87</v>
      </c>
      <c r="E100" s="28" t="s">
        <v>85</v>
      </c>
      <c r="F100" s="28"/>
      <c r="G100" s="29" t="s">
        <v>83</v>
      </c>
    </row>
    <row r="101" spans="4:7" ht="15.75">
      <c r="D101" s="23" t="s">
        <v>86</v>
      </c>
      <c r="E101" s="26" t="s">
        <v>86</v>
      </c>
      <c r="F101" s="26"/>
      <c r="G101" s="30" t="s">
        <v>84</v>
      </c>
    </row>
    <row r="102" spans="1:7" ht="15.75">
      <c r="A102" s="18" t="s">
        <v>283</v>
      </c>
      <c r="D102" s="18"/>
      <c r="E102" s="26"/>
      <c r="F102" s="26"/>
      <c r="G102" s="30"/>
    </row>
    <row r="103" spans="1:7" ht="15.75">
      <c r="A103" s="163" t="s">
        <v>322</v>
      </c>
      <c r="D103" s="157">
        <v>5000</v>
      </c>
      <c r="E103" s="26"/>
      <c r="F103" s="26"/>
      <c r="G103" s="30"/>
    </row>
    <row r="104" spans="4:7" ht="15.75">
      <c r="D104" s="23"/>
      <c r="E104" s="26"/>
      <c r="F104" s="26"/>
      <c r="G104" s="30"/>
    </row>
    <row r="105" spans="1:4" ht="15.75">
      <c r="A105" s="18" t="s">
        <v>278</v>
      </c>
      <c r="D105" s="17" t="s">
        <v>0</v>
      </c>
    </row>
    <row r="106" spans="1:7" ht="15.75">
      <c r="A106" s="163" t="s">
        <v>323</v>
      </c>
      <c r="D106" s="157">
        <v>8375</v>
      </c>
      <c r="E106" s="139"/>
      <c r="F106" s="31"/>
      <c r="G106" s="139"/>
    </row>
    <row r="107" spans="1:7" ht="15.75">
      <c r="A107" s="163" t="s">
        <v>324</v>
      </c>
      <c r="D107" s="157">
        <v>16125</v>
      </c>
      <c r="E107" s="139"/>
      <c r="F107" s="31"/>
      <c r="G107" s="139"/>
    </row>
    <row r="108" spans="1:7" ht="15.75">
      <c r="A108" s="163" t="s">
        <v>325</v>
      </c>
      <c r="D108" s="157">
        <v>5000</v>
      </c>
      <c r="E108" s="139"/>
      <c r="F108" s="31"/>
      <c r="G108" s="139"/>
    </row>
    <row r="109" spans="1:7" ht="15.75">
      <c r="A109" s="163" t="s">
        <v>326</v>
      </c>
      <c r="D109" s="157">
        <v>5500</v>
      </c>
      <c r="E109" s="139"/>
      <c r="F109" s="31"/>
      <c r="G109" s="139"/>
    </row>
    <row r="110" spans="1:7" ht="15.75">
      <c r="A110" s="163" t="s">
        <v>327</v>
      </c>
      <c r="D110" s="157">
        <v>1125</v>
      </c>
      <c r="E110" s="139"/>
      <c r="F110" s="31"/>
      <c r="G110" s="139"/>
    </row>
    <row r="111" spans="1:7" ht="15.75">
      <c r="A111" s="163" t="s">
        <v>328</v>
      </c>
      <c r="D111" s="157">
        <v>600</v>
      </c>
      <c r="E111" s="139"/>
      <c r="F111" s="31"/>
      <c r="G111" s="139"/>
    </row>
    <row r="112" spans="1:7" ht="15.75">
      <c r="A112" s="163" t="s">
        <v>329</v>
      </c>
      <c r="D112" s="157">
        <v>1500</v>
      </c>
      <c r="E112" s="139"/>
      <c r="F112" s="31"/>
      <c r="G112" s="139"/>
    </row>
    <row r="113" spans="1:7" ht="15.75">
      <c r="A113" s="163" t="s">
        <v>330</v>
      </c>
      <c r="D113" s="157">
        <v>3500</v>
      </c>
      <c r="E113" s="139"/>
      <c r="F113" s="31"/>
      <c r="G113" s="139"/>
    </row>
    <row r="114" spans="1:7" ht="15.75">
      <c r="A114" s="163" t="s">
        <v>331</v>
      </c>
      <c r="D114" s="157">
        <v>500</v>
      </c>
      <c r="E114" s="139"/>
      <c r="F114" s="31"/>
      <c r="G114" s="139"/>
    </row>
    <row r="115" spans="1:7" ht="15.75">
      <c r="A115" s="163" t="s">
        <v>332</v>
      </c>
      <c r="D115" s="157">
        <v>750</v>
      </c>
      <c r="E115" s="139"/>
      <c r="F115" s="31"/>
      <c r="G115" s="139"/>
    </row>
    <row r="116" spans="1:8" ht="15.75">
      <c r="A116" s="163" t="s">
        <v>333</v>
      </c>
      <c r="D116" s="157">
        <v>675</v>
      </c>
      <c r="E116" s="140"/>
      <c r="F116" s="31"/>
      <c r="G116" s="140"/>
      <c r="H116" s="34"/>
    </row>
    <row r="117" spans="1:8" ht="15.75">
      <c r="A117" s="163" t="s">
        <v>334</v>
      </c>
      <c r="D117" s="157">
        <v>1500</v>
      </c>
      <c r="E117" s="140"/>
      <c r="F117" s="31"/>
      <c r="G117" s="140"/>
      <c r="H117" s="34"/>
    </row>
    <row r="118" spans="1:8" ht="15.75">
      <c r="A118" s="163" t="s">
        <v>335</v>
      </c>
      <c r="D118" s="164">
        <v>6100</v>
      </c>
      <c r="E118" s="165"/>
      <c r="F118" s="166"/>
      <c r="G118" s="165"/>
      <c r="H118" s="55"/>
    </row>
    <row r="119" spans="1:8" ht="15.75">
      <c r="A119" s="167" t="s">
        <v>45</v>
      </c>
      <c r="C119" s="129"/>
      <c r="D119" s="131">
        <f>SUM(D106:D118)</f>
        <v>51250</v>
      </c>
      <c r="E119" s="159">
        <v>10</v>
      </c>
      <c r="F119" s="31" t="s">
        <v>126</v>
      </c>
      <c r="G119" s="159">
        <v>20</v>
      </c>
      <c r="H119" s="34" t="s">
        <v>129</v>
      </c>
    </row>
    <row r="120" ht="15.75">
      <c r="D120" s="18"/>
    </row>
    <row r="121" spans="1:7" ht="15.75">
      <c r="A121" s="18" t="s">
        <v>14</v>
      </c>
      <c r="D121" s="17" t="s">
        <v>0</v>
      </c>
      <c r="E121" s="27" t="s">
        <v>0</v>
      </c>
      <c r="F121" s="27"/>
      <c r="G121" s="33" t="s">
        <v>0</v>
      </c>
    </row>
    <row r="122" spans="1:7" ht="15.75">
      <c r="A122" s="163" t="s">
        <v>336</v>
      </c>
      <c r="D122" s="160">
        <v>20000</v>
      </c>
      <c r="E122" s="139"/>
      <c r="F122" s="31"/>
      <c r="G122" s="139"/>
    </row>
    <row r="123" spans="1:7" ht="15.75">
      <c r="A123" s="163" t="s">
        <v>337</v>
      </c>
      <c r="D123" s="161">
        <v>10000</v>
      </c>
      <c r="E123" s="139"/>
      <c r="F123" s="31"/>
      <c r="G123" s="139"/>
    </row>
    <row r="124" spans="1:8" ht="15.75">
      <c r="A124" s="163" t="s">
        <v>338</v>
      </c>
      <c r="D124" s="164">
        <v>10000</v>
      </c>
      <c r="E124" s="165"/>
      <c r="F124" s="166"/>
      <c r="G124" s="165"/>
      <c r="H124" s="55"/>
    </row>
    <row r="125" spans="1:8" ht="15.75">
      <c r="A125" s="167" t="s">
        <v>45</v>
      </c>
      <c r="D125" s="18">
        <f>SUM(D122:D124)</f>
        <v>40000</v>
      </c>
      <c r="E125" s="159">
        <v>10</v>
      </c>
      <c r="F125" s="31" t="s">
        <v>126</v>
      </c>
      <c r="G125" s="159">
        <v>20</v>
      </c>
      <c r="H125" s="34" t="s">
        <v>129</v>
      </c>
    </row>
    <row r="126" spans="4:8" ht="15">
      <c r="D126" s="34"/>
      <c r="E126" s="34"/>
      <c r="F126" s="34"/>
      <c r="G126" s="35"/>
      <c r="H126" s="34"/>
    </row>
    <row r="127" spans="1:4" ht="15.75">
      <c r="A127" s="18" t="s">
        <v>15</v>
      </c>
      <c r="D127" s="141">
        <f>D119+D125+D103</f>
        <v>96250</v>
      </c>
    </row>
    <row r="128" ht="15">
      <c r="H128" s="17" t="s">
        <v>0</v>
      </c>
    </row>
    <row r="129" spans="1:6" ht="15.75">
      <c r="A129" s="18" t="s">
        <v>131</v>
      </c>
      <c r="E129" s="26" t="s">
        <v>45</v>
      </c>
      <c r="F129" s="26"/>
    </row>
    <row r="130" spans="5:6" ht="15">
      <c r="E130" s="19"/>
      <c r="F130" s="19"/>
    </row>
    <row r="131" spans="1:6" ht="15.75">
      <c r="A131" s="17" t="s">
        <v>248</v>
      </c>
      <c r="E131" s="162">
        <v>8</v>
      </c>
      <c r="F131" s="35" t="s">
        <v>50</v>
      </c>
    </row>
    <row r="132" spans="1:6" ht="15.75">
      <c r="A132" s="17" t="s">
        <v>130</v>
      </c>
      <c r="E132" s="156">
        <v>10</v>
      </c>
      <c r="F132" s="36" t="s">
        <v>60</v>
      </c>
    </row>
  </sheetData>
  <sheetProtection password="C7C6" sheet="1" objects="1" scenarios="1"/>
  <mergeCells count="8">
    <mergeCell ref="A2:G2"/>
    <mergeCell ref="A11:G11"/>
    <mergeCell ref="A31:G31"/>
    <mergeCell ref="A99:H99"/>
    <mergeCell ref="B32:C33"/>
    <mergeCell ref="D32:E32"/>
    <mergeCell ref="D33:E33"/>
    <mergeCell ref="A4:H4"/>
  </mergeCells>
  <printOptions/>
  <pageMargins left="0.75" right="0.75" top="1" bottom="1" header="0.5" footer="0.5"/>
  <pageSetup horizontalDpi="300" verticalDpi="300" orientation="portrait" scale="79" r:id="rId3"/>
  <headerFooter alignWithMargins="0">
    <oddHeader>&amp;L&amp;9Guidelines: Background Cattle Production Costs</oddHeader>
    <oddFooter>&amp;R&amp;9Manitoba Agriculture and Food
&amp;"Arial,Italic"Farm Management</oddFooter>
  </headerFooter>
  <rowBreaks count="2" manualBreakCount="2">
    <brk id="41" max="7" man="1"/>
    <brk id="82" max="255" man="1"/>
  </rowBreaks>
  <legacyDrawing r:id="rId2"/>
</worksheet>
</file>

<file path=xl/worksheets/sheet3.xml><?xml version="1.0" encoding="utf-8"?>
<worksheet xmlns="http://schemas.openxmlformats.org/spreadsheetml/2006/main" xmlns:r="http://schemas.openxmlformats.org/officeDocument/2006/relationships">
  <sheetPr codeName="Sheet2"/>
  <dimension ref="A2:J79"/>
  <sheetViews>
    <sheetView showGridLines="0" workbookViewId="0" topLeftCell="A1">
      <selection activeCell="A1" sqref="A1"/>
    </sheetView>
  </sheetViews>
  <sheetFormatPr defaultColWidth="8.88671875" defaultRowHeight="15"/>
  <cols>
    <col min="1" max="4" width="8.88671875" style="17" customWidth="1"/>
    <col min="5" max="5" width="7.88671875" style="17" customWidth="1"/>
    <col min="6" max="6" width="10.4453125" style="17" customWidth="1"/>
    <col min="7" max="7" width="1.5625" style="17" customWidth="1"/>
    <col min="8" max="8" width="10.4453125" style="17" customWidth="1"/>
    <col min="9" max="9" width="2.4453125" style="17" customWidth="1"/>
    <col min="10" max="10" width="11.10546875" style="17" customWidth="1"/>
    <col min="11" max="16384" width="8.88671875" style="17" customWidth="1"/>
  </cols>
  <sheetData>
    <row r="2" spans="1:10" ht="18">
      <c r="A2" s="202" t="str">
        <f>"   Cost of Raising Dairy Steers to "&amp;Input!D21&amp;" lbs - "&amp;Introduction!H8&amp;""</f>
        <v>   Cost of Raising Dairy Steers to 530 lbs - February, 2002</v>
      </c>
      <c r="B2" s="202"/>
      <c r="C2" s="202"/>
      <c r="D2" s="202"/>
      <c r="E2" s="202"/>
      <c r="F2" s="202"/>
      <c r="G2" s="202"/>
      <c r="H2" s="202"/>
      <c r="I2" s="202"/>
      <c r="J2" s="202"/>
    </row>
    <row r="5" spans="1:10" ht="15.75">
      <c r="A5" s="38" t="s">
        <v>64</v>
      </c>
      <c r="F5" s="75" t="s">
        <v>66</v>
      </c>
      <c r="G5" s="76"/>
      <c r="H5" s="77" t="s">
        <v>171</v>
      </c>
      <c r="I5" s="17" t="s">
        <v>0</v>
      </c>
      <c r="J5" s="23" t="s">
        <v>65</v>
      </c>
    </row>
    <row r="6" spans="1:6" ht="15.75">
      <c r="A6" s="18" t="s">
        <v>63</v>
      </c>
      <c r="F6" s="19" t="s">
        <v>0</v>
      </c>
    </row>
    <row r="7" spans="1:10" ht="15">
      <c r="A7" s="17" t="s">
        <v>184</v>
      </c>
      <c r="F7" s="82">
        <f>Details!F52</f>
        <v>73.97</v>
      </c>
      <c r="H7" s="37">
        <f>ROUND(F7*Input!$D$13,0)</f>
        <v>7397</v>
      </c>
      <c r="J7" s="39"/>
    </row>
    <row r="8" spans="1:10" ht="15">
      <c r="A8" s="17" t="s">
        <v>185</v>
      </c>
      <c r="F8" s="82">
        <f>Details!F58</f>
        <v>14.4</v>
      </c>
      <c r="H8" s="37">
        <f>ROUND(F8*Input!$D$13,0)</f>
        <v>1440</v>
      </c>
      <c r="J8" s="39"/>
    </row>
    <row r="9" spans="1:10" ht="15">
      <c r="A9" s="17" t="s">
        <v>204</v>
      </c>
      <c r="F9" s="82">
        <f>Details!F64</f>
        <v>67.2</v>
      </c>
      <c r="H9" s="37">
        <f>ROUND(F9*Input!$D$13,0)</f>
        <v>6720</v>
      </c>
      <c r="J9" s="39"/>
    </row>
    <row r="10" spans="1:10" ht="15">
      <c r="A10" s="17" t="s">
        <v>268</v>
      </c>
      <c r="F10" s="82">
        <f>Details!F70</f>
        <v>24</v>
      </c>
      <c r="H10" s="37">
        <f>ROUND(F10*Input!$D$13,0)</f>
        <v>2400</v>
      </c>
      <c r="J10" s="39"/>
    </row>
    <row r="11" spans="1:10" ht="15">
      <c r="A11" s="17" t="s">
        <v>205</v>
      </c>
      <c r="F11" s="94">
        <f>Details!F76</f>
        <v>15.200000000000001</v>
      </c>
      <c r="G11" s="52"/>
      <c r="H11" s="95">
        <f>ROUND(F11*Input!$D$13,0)</f>
        <v>1520</v>
      </c>
      <c r="J11" s="39"/>
    </row>
    <row r="12" spans="1:10" ht="15">
      <c r="A12" s="17" t="s">
        <v>277</v>
      </c>
      <c r="E12" s="76"/>
      <c r="F12" s="97">
        <f>Details!F82</f>
        <v>9.200000000000001</v>
      </c>
      <c r="G12" s="68"/>
      <c r="H12" s="78">
        <f>ROUND(F12*Input!$D$13,0)</f>
        <v>920</v>
      </c>
      <c r="J12" s="39"/>
    </row>
    <row r="13" spans="1:10" ht="15.75">
      <c r="A13" s="38" t="s">
        <v>16</v>
      </c>
      <c r="B13" s="38"/>
      <c r="C13" s="38"/>
      <c r="D13" s="38"/>
      <c r="E13" s="38"/>
      <c r="F13" s="70">
        <f>SUM(F7:F12)</f>
        <v>203.96999999999997</v>
      </c>
      <c r="G13" s="38"/>
      <c r="H13" s="71">
        <f>SUM(H7:H12)</f>
        <v>20397</v>
      </c>
      <c r="J13" s="39"/>
    </row>
    <row r="14" spans="1:10" ht="15.75">
      <c r="A14" s="38"/>
      <c r="B14" s="38"/>
      <c r="C14" s="38"/>
      <c r="D14" s="38"/>
      <c r="E14" s="38"/>
      <c r="F14" s="48"/>
      <c r="G14" s="38"/>
      <c r="H14" s="16"/>
      <c r="J14" s="40"/>
    </row>
    <row r="15" spans="1:8" ht="15.75">
      <c r="A15" s="38" t="s">
        <v>62</v>
      </c>
      <c r="F15" s="48"/>
      <c r="H15" s="16"/>
    </row>
    <row r="16" spans="1:10" ht="15">
      <c r="A16" s="17" t="s">
        <v>17</v>
      </c>
      <c r="F16" s="82">
        <f>Details!F98</f>
        <v>206.25</v>
      </c>
      <c r="H16" s="37">
        <f>ROUND(F16*Input!$D$13,0)</f>
        <v>20625</v>
      </c>
      <c r="J16" s="39"/>
    </row>
    <row r="17" spans="1:10" ht="15">
      <c r="A17" s="17" t="s">
        <v>18</v>
      </c>
      <c r="F17" s="82">
        <f>Details!F104</f>
        <v>4.92</v>
      </c>
      <c r="H17" s="37">
        <f>ROUND(F17*Input!$D$13,0)</f>
        <v>492</v>
      </c>
      <c r="J17" s="39"/>
    </row>
    <row r="18" spans="1:10" ht="15">
      <c r="A18" s="17" t="s">
        <v>19</v>
      </c>
      <c r="F18" s="82">
        <f>Details!F120</f>
        <v>6.69</v>
      </c>
      <c r="H18" s="37">
        <f>ROUND(F18*Input!$D$13,0)</f>
        <v>669</v>
      </c>
      <c r="J18" s="39"/>
    </row>
    <row r="19" spans="1:10" ht="15">
      <c r="A19" s="17" t="s">
        <v>20</v>
      </c>
      <c r="F19" s="82">
        <f>Details!F126</f>
        <v>4</v>
      </c>
      <c r="H19" s="37">
        <f>ROUND(F19*Input!$D$13,0)</f>
        <v>400</v>
      </c>
      <c r="J19" s="39"/>
    </row>
    <row r="20" spans="1:10" ht="15">
      <c r="A20" s="17" t="s">
        <v>21</v>
      </c>
      <c r="F20" s="82">
        <f>Details!F131</f>
        <v>8</v>
      </c>
      <c r="H20" s="37">
        <f>ROUND(F20*Input!$D$13,0)</f>
        <v>800</v>
      </c>
      <c r="J20" s="39"/>
    </row>
    <row r="21" spans="1:10" ht="15">
      <c r="A21" s="17" t="s">
        <v>22</v>
      </c>
      <c r="F21" s="82">
        <f>Details!F145</f>
        <v>22.38</v>
      </c>
      <c r="H21" s="37">
        <f>ROUND(F21*Input!$D$13,0)</f>
        <v>2238</v>
      </c>
      <c r="J21" s="39"/>
    </row>
    <row r="22" spans="1:10" ht="15">
      <c r="A22" s="17" t="s">
        <v>23</v>
      </c>
      <c r="F22" s="82">
        <f>Details!F166</f>
        <v>6.58</v>
      </c>
      <c r="H22" s="37">
        <f>ROUND(F22*Input!$D$13,0)</f>
        <v>658</v>
      </c>
      <c r="J22" s="39"/>
    </row>
    <row r="23" spans="1:10" ht="15">
      <c r="A23" s="17" t="s">
        <v>24</v>
      </c>
      <c r="F23" s="82">
        <f>Details!F171</f>
        <v>5</v>
      </c>
      <c r="H23" s="37">
        <f>ROUND(F23*Input!$D$13,0)</f>
        <v>500</v>
      </c>
      <c r="J23" s="39"/>
    </row>
    <row r="24" spans="1:10" ht="15">
      <c r="A24" s="17" t="s">
        <v>25</v>
      </c>
      <c r="F24" s="82">
        <f>Details!F176</f>
        <v>2</v>
      </c>
      <c r="H24" s="37">
        <f>ROUND(F24*Input!$D$13,0)</f>
        <v>200</v>
      </c>
      <c r="J24" s="39"/>
    </row>
    <row r="25" spans="1:10" ht="15">
      <c r="A25" s="17" t="s">
        <v>26</v>
      </c>
      <c r="F25" s="90">
        <f>Details!F191</f>
        <v>15.641162601626014</v>
      </c>
      <c r="G25" s="76"/>
      <c r="H25" s="78">
        <f>ROUND(F25*Input!$D$13,0)</f>
        <v>1564</v>
      </c>
      <c r="J25" s="39"/>
    </row>
    <row r="26" spans="1:10" ht="15">
      <c r="A26" s="17" t="s">
        <v>163</v>
      </c>
      <c r="F26" s="82">
        <f>ROUND(SUM(F13:F25),2)</f>
        <v>485.43</v>
      </c>
      <c r="H26" s="67">
        <f>SUM(H13:H25)</f>
        <v>48543</v>
      </c>
      <c r="J26" s="39"/>
    </row>
    <row r="27" spans="1:10" ht="15">
      <c r="A27" s="17" t="s">
        <v>27</v>
      </c>
      <c r="F27" s="90">
        <f>Details!F200</f>
        <v>13.98520109589041</v>
      </c>
      <c r="G27" s="76"/>
      <c r="H27" s="78">
        <f>ROUND(F27*Input!$D$13,0)</f>
        <v>1399</v>
      </c>
      <c r="J27" s="39"/>
    </row>
    <row r="28" spans="1:10" ht="15.75">
      <c r="A28" s="38" t="s">
        <v>67</v>
      </c>
      <c r="B28" s="38"/>
      <c r="C28" s="38"/>
      <c r="D28" s="38"/>
      <c r="E28" s="38"/>
      <c r="F28" s="70">
        <f>F26+F27</f>
        <v>499.41520109589044</v>
      </c>
      <c r="G28" s="38"/>
      <c r="H28" s="71">
        <f>H26+H27</f>
        <v>49942</v>
      </c>
      <c r="J28" s="39"/>
    </row>
    <row r="29" spans="1:10" ht="15.75">
      <c r="A29" s="38"/>
      <c r="B29" s="38"/>
      <c r="C29" s="38"/>
      <c r="D29" s="38"/>
      <c r="E29" s="38"/>
      <c r="F29" s="48"/>
      <c r="G29" s="38"/>
      <c r="H29" s="16"/>
      <c r="J29" s="40"/>
    </row>
    <row r="30" spans="1:8" ht="15.75">
      <c r="A30" s="38" t="s">
        <v>61</v>
      </c>
      <c r="F30" s="48"/>
      <c r="H30" s="16"/>
    </row>
    <row r="31" spans="1:8" ht="15.75">
      <c r="A31" s="18" t="s">
        <v>28</v>
      </c>
      <c r="F31" s="48"/>
      <c r="H31" s="16"/>
    </row>
    <row r="32" spans="1:10" ht="15">
      <c r="A32" s="17" t="s">
        <v>29</v>
      </c>
      <c r="F32" s="82">
        <f>Details!F241</f>
        <v>23.06</v>
      </c>
      <c r="H32" s="37">
        <f>F32*Input!D13</f>
        <v>2306</v>
      </c>
      <c r="J32" s="39"/>
    </row>
    <row r="33" spans="1:10" ht="15">
      <c r="A33" s="17" t="s">
        <v>30</v>
      </c>
      <c r="F33" s="82">
        <f>Details!F248</f>
        <v>18</v>
      </c>
      <c r="H33" s="37">
        <f>F33*Input!D13</f>
        <v>1800</v>
      </c>
      <c r="J33" s="39"/>
    </row>
    <row r="34" spans="1:8" ht="15.75">
      <c r="A34" s="18" t="s">
        <v>31</v>
      </c>
      <c r="F34" s="72" t="s">
        <v>0</v>
      </c>
      <c r="H34" s="37"/>
    </row>
    <row r="35" spans="1:10" ht="15">
      <c r="A35" s="17" t="s">
        <v>290</v>
      </c>
      <c r="F35" s="72">
        <f>Details!F256</f>
        <v>2</v>
      </c>
      <c r="H35" s="37">
        <f>F35*Input!D15</f>
        <v>200</v>
      </c>
      <c r="J35" s="39"/>
    </row>
    <row r="36" spans="1:10" ht="15">
      <c r="A36" s="17" t="s">
        <v>291</v>
      </c>
      <c r="F36" s="82">
        <f>Details!F264</f>
        <v>11.275</v>
      </c>
      <c r="H36" s="37">
        <f>F36*Input!D13</f>
        <v>1127.5</v>
      </c>
      <c r="J36" s="39"/>
    </row>
    <row r="37" spans="1:10" ht="15">
      <c r="A37" s="17" t="s">
        <v>292</v>
      </c>
      <c r="F37" s="90">
        <f>Details!F272</f>
        <v>8.8</v>
      </c>
      <c r="G37" s="76"/>
      <c r="H37" s="78">
        <f>F37*Input!D13</f>
        <v>880.0000000000001</v>
      </c>
      <c r="J37" s="39"/>
    </row>
    <row r="38" spans="1:10" ht="15.75">
      <c r="A38" s="38" t="s">
        <v>68</v>
      </c>
      <c r="B38" s="38"/>
      <c r="C38" s="38"/>
      <c r="D38" s="38"/>
      <c r="E38" s="38"/>
      <c r="F38" s="79">
        <f>SUM(F32:F37)</f>
        <v>63.135000000000005</v>
      </c>
      <c r="G38" s="80"/>
      <c r="H38" s="81">
        <f>F38*Input!D13</f>
        <v>6313.500000000001</v>
      </c>
      <c r="J38" s="39"/>
    </row>
    <row r="39" spans="1:10" ht="15.75">
      <c r="A39" s="38" t="s">
        <v>69</v>
      </c>
      <c r="B39" s="38"/>
      <c r="C39" s="38"/>
      <c r="D39" s="38"/>
      <c r="E39" s="38"/>
      <c r="F39" s="70">
        <f>SUM(F28+F38)</f>
        <v>562.5502010958904</v>
      </c>
      <c r="G39" s="38"/>
      <c r="H39" s="71">
        <f>H28+H38</f>
        <v>56255.5</v>
      </c>
      <c r="J39" s="46"/>
    </row>
    <row r="40" spans="1:10" ht="15.75">
      <c r="A40" s="38"/>
      <c r="B40" s="38"/>
      <c r="C40" s="38"/>
      <c r="D40" s="38"/>
      <c r="E40" s="38"/>
      <c r="F40" s="48"/>
      <c r="G40" s="38"/>
      <c r="H40" s="16"/>
      <c r="J40" s="40"/>
    </row>
    <row r="41" spans="1:10" ht="15.75">
      <c r="A41" s="38" t="s">
        <v>172</v>
      </c>
      <c r="B41" s="38"/>
      <c r="C41" s="38"/>
      <c r="D41" s="38"/>
      <c r="E41" s="38"/>
      <c r="F41" s="82">
        <f>Details!F277</f>
        <v>80</v>
      </c>
      <c r="G41" s="83"/>
      <c r="H41" s="84">
        <f>F41*Input!D13</f>
        <v>8000</v>
      </c>
      <c r="J41" s="39"/>
    </row>
    <row r="42" spans="1:10" ht="15.75">
      <c r="A42" s="38"/>
      <c r="B42" s="38"/>
      <c r="C42" s="38"/>
      <c r="D42" s="38"/>
      <c r="E42" s="38"/>
      <c r="F42" s="49"/>
      <c r="G42" s="38"/>
      <c r="H42" s="16"/>
      <c r="J42" s="40"/>
    </row>
    <row r="43" spans="1:10" ht="15.75">
      <c r="A43" s="41" t="s">
        <v>70</v>
      </c>
      <c r="B43" s="41"/>
      <c r="C43" s="41"/>
      <c r="D43" s="41"/>
      <c r="E43" s="41"/>
      <c r="F43" s="70">
        <f>F39+F41</f>
        <v>642.5502010958904</v>
      </c>
      <c r="G43" s="41"/>
      <c r="H43" s="71">
        <f>H39+H41</f>
        <v>64255.5</v>
      </c>
      <c r="I43" s="40"/>
      <c r="J43" s="40"/>
    </row>
    <row r="44" spans="1:10" ht="15.75" thickBot="1">
      <c r="A44" s="42"/>
      <c r="B44" s="42"/>
      <c r="C44" s="42"/>
      <c r="D44" s="42"/>
      <c r="E44" s="42"/>
      <c r="F44" s="42"/>
      <c r="G44" s="42"/>
      <c r="H44" s="42"/>
      <c r="I44" s="42" t="s">
        <v>0</v>
      </c>
      <c r="J44" s="43"/>
    </row>
    <row r="45" spans="1:10" ht="18.75" thickTop="1">
      <c r="A45" s="18" t="s">
        <v>98</v>
      </c>
      <c r="B45" s="44"/>
      <c r="C45" s="44"/>
      <c r="D45" s="44"/>
      <c r="E45" s="44"/>
      <c r="F45" s="101" t="s">
        <v>236</v>
      </c>
      <c r="G45" s="44"/>
      <c r="H45" s="44"/>
      <c r="I45" s="44"/>
      <c r="J45" s="44"/>
    </row>
    <row r="46" spans="1:10" ht="15" customHeight="1">
      <c r="A46" s="45" t="s">
        <v>117</v>
      </c>
      <c r="B46" s="44"/>
      <c r="C46" s="44"/>
      <c r="D46" s="44"/>
      <c r="E46" s="44"/>
      <c r="F46" s="100">
        <f>Breakeven!F7</f>
        <v>0.4987041564792175</v>
      </c>
      <c r="G46" s="44"/>
      <c r="H46" s="44"/>
      <c r="I46" s="44"/>
      <c r="J46" s="126"/>
    </row>
    <row r="47" spans="1:10" ht="13.5" customHeight="1">
      <c r="A47" s="17" t="s">
        <v>99</v>
      </c>
      <c r="F47" s="100">
        <f>Breakeven!F12</f>
        <v>0.7320665063469204</v>
      </c>
      <c r="J47" s="39"/>
    </row>
    <row r="48" spans="1:10" ht="15">
      <c r="A48" s="17" t="s">
        <v>100</v>
      </c>
      <c r="F48" s="100">
        <f>Breakeven!F17</f>
        <v>0.8864308095254044</v>
      </c>
      <c r="J48" s="46"/>
    </row>
    <row r="49" spans="1:10" ht="15">
      <c r="A49" s="34" t="s">
        <v>284</v>
      </c>
      <c r="F49" s="100">
        <f>Breakeven!F22</f>
        <v>1.0820298315302945</v>
      </c>
      <c r="J49" s="46"/>
    </row>
    <row r="50" spans="1:6" ht="15.75">
      <c r="A50" s="18" t="s">
        <v>101</v>
      </c>
      <c r="F50" s="99"/>
    </row>
    <row r="51" spans="1:10" ht="15">
      <c r="A51" s="17" t="s">
        <v>99</v>
      </c>
      <c r="F51" s="100">
        <f>Breakeven!F26</f>
        <v>0.991887191848839</v>
      </c>
      <c r="J51" s="39"/>
    </row>
    <row r="52" spans="1:10" ht="15">
      <c r="A52" s="17" t="s">
        <v>100</v>
      </c>
      <c r="F52" s="100">
        <f>Breakeven!F30</f>
        <v>1.1172794460692959</v>
      </c>
      <c r="J52" s="46"/>
    </row>
    <row r="53" spans="1:10" ht="15">
      <c r="A53" s="34" t="s">
        <v>284</v>
      </c>
      <c r="F53" s="100">
        <f>Breakeven!F34</f>
        <v>1.2761672315707853</v>
      </c>
      <c r="J53" s="46"/>
    </row>
    <row r="54" ht="9" customHeight="1"/>
    <row r="55" spans="1:10" ht="54.75" customHeight="1">
      <c r="A55" s="147" t="s">
        <v>340</v>
      </c>
      <c r="B55" s="148"/>
      <c r="C55" s="148"/>
      <c r="D55" s="148"/>
      <c r="E55" s="148"/>
      <c r="F55" s="148"/>
      <c r="G55" s="148"/>
      <c r="H55" s="148"/>
      <c r="I55" s="148"/>
      <c r="J55" s="148"/>
    </row>
    <row r="66" spans="1:6" ht="15.75">
      <c r="A66" s="18"/>
      <c r="F66" s="47"/>
    </row>
    <row r="68" ht="15.75">
      <c r="A68" s="18"/>
    </row>
    <row r="69" ht="15">
      <c r="F69" s="19"/>
    </row>
    <row r="70" ht="15">
      <c r="F70" s="19"/>
    </row>
    <row r="72" spans="1:6" ht="15.75">
      <c r="A72" s="18"/>
      <c r="F72" s="19"/>
    </row>
    <row r="74" spans="1:6" ht="15.75">
      <c r="A74" s="18"/>
      <c r="F74" s="47"/>
    </row>
    <row r="76" spans="1:6" ht="15.75">
      <c r="A76" s="18"/>
      <c r="F76" s="19"/>
    </row>
    <row r="78" spans="1:6" ht="15.75">
      <c r="A78" s="18"/>
      <c r="F78" s="19"/>
    </row>
    <row r="79" ht="15.75">
      <c r="A79" s="18"/>
    </row>
  </sheetData>
  <sheetProtection password="C7C6" sheet="1" objects="1" scenarios="1"/>
  <mergeCells count="2">
    <mergeCell ref="A2:J2"/>
    <mergeCell ref="A55:J55"/>
  </mergeCells>
  <printOptions horizontalCentered="1"/>
  <pageMargins left="0.748031496062992" right="0.748031496062992" top="0.73" bottom="0.86" header="0.511811023622047" footer="0.511811023622047"/>
  <pageSetup firstPageNumber="2" useFirstPageNumber="1" horizontalDpi="180" verticalDpi="180" orientation="portrait" scale="70" r:id="rId2"/>
  <headerFooter alignWithMargins="0">
    <oddHeader>&amp;L&amp;9Guidelines: Raising Dairy Steers&amp;R&amp;P</oddHeader>
    <oddFooter>&amp;R&amp;9Manitoba Agriculture and Food
&amp;"Arial,Italic"Farm Management</oddFooter>
  </headerFooter>
  <legacyDrawing r:id="rId1"/>
</worksheet>
</file>

<file path=xl/worksheets/sheet4.xml><?xml version="1.0" encoding="utf-8"?>
<worksheet xmlns="http://schemas.openxmlformats.org/spreadsheetml/2006/main" xmlns:r="http://schemas.openxmlformats.org/officeDocument/2006/relationships">
  <sheetPr codeName="Sheet3"/>
  <dimension ref="B2:O277"/>
  <sheetViews>
    <sheetView showGridLines="0" workbookViewId="0" topLeftCell="A1">
      <selection activeCell="A1" sqref="A1"/>
    </sheetView>
  </sheetViews>
  <sheetFormatPr defaultColWidth="8.88671875" defaultRowHeight="15"/>
  <cols>
    <col min="1" max="1" width="3.5546875" style="34" customWidth="1"/>
    <col min="2" max="2" width="3.88671875" style="34" customWidth="1"/>
    <col min="3" max="3" width="10.88671875" style="34" customWidth="1"/>
    <col min="4" max="4" width="2.5546875" style="34" customWidth="1"/>
    <col min="5" max="5" width="1.4375" style="34" hidden="1" customWidth="1"/>
    <col min="6" max="6" width="11.4453125" style="34" customWidth="1"/>
    <col min="7" max="7" width="2.4453125" style="34" customWidth="1"/>
    <col min="8" max="8" width="9.99609375" style="34" customWidth="1"/>
    <col min="9" max="9" width="2.99609375" style="34" customWidth="1"/>
    <col min="10" max="10" width="2.77734375" style="34" customWidth="1"/>
    <col min="11" max="11" width="8.6640625" style="34" customWidth="1"/>
    <col min="12" max="12" width="9.10546875" style="34" customWidth="1"/>
    <col min="13" max="13" width="10.4453125" style="34" customWidth="1"/>
    <col min="14" max="14" width="7.6640625" style="34" customWidth="1"/>
    <col min="15" max="15" width="3.21484375" style="34" customWidth="1"/>
    <col min="16" max="16384" width="8.88671875" style="34" customWidth="1"/>
  </cols>
  <sheetData>
    <row r="2" spans="2:13" ht="15.75">
      <c r="B2" s="213" t="s">
        <v>105</v>
      </c>
      <c r="C2" s="212"/>
      <c r="D2" s="212"/>
      <c r="E2" s="212"/>
      <c r="F2" s="212"/>
      <c r="G2" s="212"/>
      <c r="H2" s="212"/>
      <c r="I2" s="212"/>
      <c r="J2" s="212"/>
      <c r="K2" s="212"/>
      <c r="L2" s="212"/>
      <c r="M2" s="212"/>
    </row>
    <row r="4" spans="2:13" ht="15">
      <c r="B4" s="214" t="str">
        <f>"1.  The average daily gain (ADG) was assumed to be "&amp;Input!D20&amp;" lbs/day for the pre weaning period ("&amp;Input!D15-(Input!D15*Input!D16/100)&amp;" to "&amp;Input!D18&amp;" lbs) and "&amp;Input!D25&amp;" lbs/day for the post weaning period ("&amp;Input!D18&amp;" to "&amp;Input!D21&amp;" lbs)."</f>
        <v>1.  The average daily gain (ADG) was assumed to be 0.76 lbs/day for the pre weaning period (95 to 130 lbs) and 2 lbs/day for the post weaning period (130 to 530 lbs).</v>
      </c>
      <c r="C4" s="207"/>
      <c r="D4" s="207"/>
      <c r="E4" s="207"/>
      <c r="F4" s="207"/>
      <c r="G4" s="207"/>
      <c r="H4" s="207"/>
      <c r="I4" s="207"/>
      <c r="J4" s="207"/>
      <c r="K4" s="207"/>
      <c r="L4" s="207"/>
      <c r="M4" s="207"/>
    </row>
    <row r="5" spans="2:13" ht="15">
      <c r="B5" s="207"/>
      <c r="C5" s="207"/>
      <c r="D5" s="207"/>
      <c r="E5" s="207"/>
      <c r="F5" s="207"/>
      <c r="G5" s="207"/>
      <c r="H5" s="207"/>
      <c r="I5" s="207"/>
      <c r="J5" s="207"/>
      <c r="K5" s="207"/>
      <c r="L5" s="207"/>
      <c r="M5" s="207"/>
    </row>
    <row r="6" ht="15">
      <c r="B6" s="50"/>
    </row>
    <row r="7" spans="2:13" ht="15">
      <c r="B7" s="215" t="str">
        <f>"2.  Feeder calf weighed  "&amp;Input!D15-(Input!D15*Input!D16/100)&amp;" lbs. shrunk weight and was marketed at  "&amp;ROUND(Input!D21-(Input!D21*Input!D22/100),0)&amp;" lbs shrunk weight."</f>
        <v>2.  Feeder calf weighed  95 lbs. shrunk weight and was marketed at  504 lbs shrunk weight.</v>
      </c>
      <c r="C7" s="207"/>
      <c r="D7" s="207"/>
      <c r="E7" s="207"/>
      <c r="F7" s="207"/>
      <c r="G7" s="207"/>
      <c r="H7" s="207"/>
      <c r="I7" s="207"/>
      <c r="J7" s="207"/>
      <c r="K7" s="207"/>
      <c r="L7" s="207"/>
      <c r="M7" s="207"/>
    </row>
    <row r="9" spans="2:13" ht="15">
      <c r="B9" s="215" t="str">
        <f>"3.  Total feeding period ("&amp;Input!D27+Input!D28&amp;") days includes "&amp;Input!D27&amp;" days (pre weaning) and "&amp;Input!D28&amp;" days (post weaning)."</f>
        <v>3.  Total feeding period (246) days includes 46 days (pre weaning) and 200 days (post weaning).</v>
      </c>
      <c r="C9" s="207"/>
      <c r="D9" s="207"/>
      <c r="E9" s="207"/>
      <c r="F9" s="207"/>
      <c r="G9" s="207"/>
      <c r="H9" s="207"/>
      <c r="I9" s="207"/>
      <c r="J9" s="207"/>
      <c r="K9" s="207"/>
      <c r="L9" s="207"/>
      <c r="M9" s="207"/>
    </row>
    <row r="10" spans="2:13" ht="15">
      <c r="B10" s="212"/>
      <c r="C10" s="212"/>
      <c r="D10" s="212"/>
      <c r="E10" s="212"/>
      <c r="F10" s="212"/>
      <c r="G10" s="212"/>
      <c r="H10" s="212"/>
      <c r="I10" s="212"/>
      <c r="J10" s="212"/>
      <c r="K10" s="212"/>
      <c r="L10" s="212"/>
      <c r="M10" s="212"/>
    </row>
    <row r="11" spans="2:13" ht="18">
      <c r="B11" s="205" t="s">
        <v>198</v>
      </c>
      <c r="C11" s="206"/>
      <c r="D11" s="206"/>
      <c r="E11" s="206"/>
      <c r="F11" s="206"/>
      <c r="G11" s="206"/>
      <c r="H11" s="206"/>
      <c r="I11" s="206"/>
      <c r="J11" s="206"/>
      <c r="K11" s="212"/>
      <c r="L11" s="212"/>
      <c r="M11" s="212"/>
    </row>
    <row r="12" spans="2:10" ht="15">
      <c r="B12" s="17"/>
      <c r="C12" s="17"/>
      <c r="D12" s="17"/>
      <c r="E12" s="17"/>
      <c r="F12" s="17"/>
      <c r="G12" s="17"/>
      <c r="H12" s="17"/>
      <c r="I12" s="17"/>
      <c r="J12" s="17"/>
    </row>
    <row r="13" spans="3:13" ht="15.75">
      <c r="C13" s="17" t="s">
        <v>194</v>
      </c>
      <c r="E13" s="139"/>
      <c r="F13" s="17"/>
      <c r="I13" s="139"/>
      <c r="J13" s="139"/>
      <c r="K13" s="168">
        <f>Input!D13</f>
        <v>100</v>
      </c>
      <c r="L13" s="19" t="s">
        <v>2</v>
      </c>
      <c r="M13" s="19"/>
    </row>
    <row r="14" spans="2:13" ht="15.75">
      <c r="B14" s="17"/>
      <c r="C14" s="17" t="s">
        <v>196</v>
      </c>
      <c r="D14" s="17"/>
      <c r="E14" s="139"/>
      <c r="F14" s="19"/>
      <c r="G14" s="19"/>
      <c r="I14" s="139"/>
      <c r="J14" s="139"/>
      <c r="K14" s="168">
        <f>Input!D15</f>
        <v>100</v>
      </c>
      <c r="L14" s="19" t="s">
        <v>4</v>
      </c>
      <c r="M14" s="19"/>
    </row>
    <row r="15" spans="2:13" ht="15.75">
      <c r="B15" s="17"/>
      <c r="C15" s="17" t="s">
        <v>249</v>
      </c>
      <c r="D15" s="17"/>
      <c r="E15" s="132"/>
      <c r="F15" s="19"/>
      <c r="G15" s="19"/>
      <c r="I15" s="132"/>
      <c r="J15" s="132"/>
      <c r="K15" s="169">
        <f>Input!D16</f>
        <v>5</v>
      </c>
      <c r="L15" s="19" t="s">
        <v>3</v>
      </c>
      <c r="M15" s="19"/>
    </row>
    <row r="16" spans="2:13" ht="15.75">
      <c r="B16" s="17"/>
      <c r="C16" s="17" t="s">
        <v>250</v>
      </c>
      <c r="D16" s="17"/>
      <c r="E16" s="136"/>
      <c r="F16" s="19"/>
      <c r="G16" s="19"/>
      <c r="I16" s="136"/>
      <c r="J16" s="136"/>
      <c r="K16" s="170">
        <f>Input!D17</f>
        <v>200</v>
      </c>
      <c r="L16" s="19" t="s">
        <v>121</v>
      </c>
      <c r="M16" s="19"/>
    </row>
    <row r="17" spans="2:13" ht="15.75">
      <c r="B17" s="17"/>
      <c r="C17" s="17" t="s">
        <v>251</v>
      </c>
      <c r="D17" s="17"/>
      <c r="E17" s="174"/>
      <c r="F17" s="19"/>
      <c r="G17" s="19"/>
      <c r="I17" s="174"/>
      <c r="J17" s="174"/>
      <c r="K17" s="168">
        <f>Input!D18</f>
        <v>130</v>
      </c>
      <c r="L17" s="19" t="s">
        <v>201</v>
      </c>
      <c r="M17" s="19"/>
    </row>
    <row r="18" spans="2:13" ht="15.75">
      <c r="B18" s="17"/>
      <c r="C18" s="17" t="s">
        <v>258</v>
      </c>
      <c r="D18" s="17"/>
      <c r="E18" s="174"/>
      <c r="F18" s="19"/>
      <c r="G18" s="19"/>
      <c r="I18" s="174"/>
      <c r="J18" s="174"/>
      <c r="K18" s="169">
        <f>Input!D19</f>
        <v>10</v>
      </c>
      <c r="L18" s="19" t="s">
        <v>126</v>
      </c>
      <c r="M18" s="19"/>
    </row>
    <row r="19" spans="2:13" ht="15.75">
      <c r="B19" s="17"/>
      <c r="C19" s="17" t="s">
        <v>223</v>
      </c>
      <c r="D19" s="17"/>
      <c r="E19" s="134"/>
      <c r="F19" s="19"/>
      <c r="G19" s="19"/>
      <c r="I19" s="134"/>
      <c r="J19" s="134"/>
      <c r="K19" s="171">
        <f>Input!D20</f>
        <v>0.76</v>
      </c>
      <c r="L19" s="19" t="s">
        <v>5</v>
      </c>
      <c r="M19" s="19"/>
    </row>
    <row r="20" spans="2:13" ht="15.75">
      <c r="B20" s="17"/>
      <c r="C20" s="17" t="s">
        <v>220</v>
      </c>
      <c r="D20" s="17"/>
      <c r="E20" s="139"/>
      <c r="F20" s="19"/>
      <c r="G20" s="19"/>
      <c r="I20" s="139"/>
      <c r="J20" s="139"/>
      <c r="K20" s="168">
        <f>Input!D21</f>
        <v>530</v>
      </c>
      <c r="L20" s="19" t="s">
        <v>4</v>
      </c>
      <c r="M20" s="19"/>
    </row>
    <row r="21" spans="2:13" ht="15.75">
      <c r="B21" s="17"/>
      <c r="C21" s="17" t="s">
        <v>271</v>
      </c>
      <c r="D21" s="17"/>
      <c r="E21" s="132"/>
      <c r="F21" s="19"/>
      <c r="G21" s="19"/>
      <c r="I21" s="132"/>
      <c r="J21" s="132"/>
      <c r="K21" s="169">
        <f>Input!D22</f>
        <v>5</v>
      </c>
      <c r="L21" s="19" t="s">
        <v>3</v>
      </c>
      <c r="M21" s="19"/>
    </row>
    <row r="22" spans="2:13" ht="15.75">
      <c r="B22" s="17"/>
      <c r="C22" s="17" t="s">
        <v>235</v>
      </c>
      <c r="D22" s="17"/>
      <c r="E22" s="132"/>
      <c r="F22" s="19"/>
      <c r="G22" s="19"/>
      <c r="I22" s="132"/>
      <c r="J22" s="132"/>
      <c r="K22" s="169">
        <f>Input!D23</f>
        <v>2</v>
      </c>
      <c r="L22" s="19" t="s">
        <v>3</v>
      </c>
      <c r="M22" s="19"/>
    </row>
    <row r="23" spans="2:13" ht="15.75">
      <c r="B23" s="17"/>
      <c r="C23" s="17" t="s">
        <v>197</v>
      </c>
      <c r="D23" s="17"/>
      <c r="E23" s="136"/>
      <c r="F23" s="19"/>
      <c r="G23" s="19"/>
      <c r="I23" s="136"/>
      <c r="J23" s="136"/>
      <c r="K23" s="170">
        <f>Input!D24</f>
        <v>150</v>
      </c>
      <c r="L23" s="19" t="s">
        <v>121</v>
      </c>
      <c r="M23" s="19"/>
    </row>
    <row r="24" spans="2:13" ht="15.75">
      <c r="B24" s="17"/>
      <c r="C24" s="17" t="s">
        <v>224</v>
      </c>
      <c r="D24" s="17"/>
      <c r="E24" s="175"/>
      <c r="F24" s="19"/>
      <c r="G24" s="19"/>
      <c r="I24" s="175"/>
      <c r="J24" s="175"/>
      <c r="K24" s="172">
        <f>Input!D25</f>
        <v>2</v>
      </c>
      <c r="L24" s="19" t="s">
        <v>5</v>
      </c>
      <c r="M24" s="19"/>
    </row>
    <row r="25" spans="2:12" ht="15.75">
      <c r="B25" s="17"/>
      <c r="C25" s="17" t="s">
        <v>199</v>
      </c>
      <c r="D25" s="17"/>
      <c r="E25" s="176" t="e">
        <f>ROUND((E17-(E14-(E14*E15/100)))/E19,0)</f>
        <v>#DIV/0!</v>
      </c>
      <c r="F25" s="19"/>
      <c r="G25" s="19"/>
      <c r="I25" s="176"/>
      <c r="J25" s="176"/>
      <c r="K25" s="135">
        <f>ROUND((K17-(K14-(K14*K15/100)))/K19,0)</f>
        <v>46</v>
      </c>
      <c r="L25" s="19" t="s">
        <v>7</v>
      </c>
    </row>
    <row r="26" spans="2:12" ht="15.75">
      <c r="B26" s="17"/>
      <c r="C26" s="17" t="s">
        <v>200</v>
      </c>
      <c r="D26" s="17"/>
      <c r="E26" s="176" t="e">
        <f>ROUND((E20-E17)/E24,0)</f>
        <v>#DIV/0!</v>
      </c>
      <c r="F26" s="19"/>
      <c r="G26" s="17"/>
      <c r="I26" s="176"/>
      <c r="J26" s="176"/>
      <c r="K26" s="135">
        <f>ROUND((K20-K17)/K24,0)</f>
        <v>200</v>
      </c>
      <c r="L26" s="19" t="s">
        <v>7</v>
      </c>
    </row>
    <row r="27" spans="2:13" ht="18">
      <c r="B27" s="44"/>
      <c r="C27" s="22"/>
      <c r="D27" s="22"/>
      <c r="E27" s="22"/>
      <c r="F27" s="22"/>
      <c r="G27" s="22"/>
      <c r="H27" s="22"/>
      <c r="I27" s="22"/>
      <c r="J27" s="22"/>
      <c r="K27" s="22"/>
      <c r="L27" s="22"/>
      <c r="M27" s="22"/>
    </row>
    <row r="28" spans="2:15" ht="15.75">
      <c r="B28" s="205" t="s">
        <v>262</v>
      </c>
      <c r="C28" s="209"/>
      <c r="D28" s="209"/>
      <c r="E28" s="209"/>
      <c r="F28" s="209"/>
      <c r="G28" s="209"/>
      <c r="H28" s="209"/>
      <c r="I28" s="209"/>
      <c r="J28" s="209"/>
      <c r="K28" s="209"/>
      <c r="L28" s="209"/>
      <c r="M28" s="209"/>
      <c r="N28" s="210"/>
      <c r="O28" s="210"/>
    </row>
    <row r="29" spans="2:15" ht="15.75">
      <c r="B29" s="17"/>
      <c r="E29" s="24" t="s">
        <v>187</v>
      </c>
      <c r="F29" s="177"/>
      <c r="H29" s="21" t="s">
        <v>221</v>
      </c>
      <c r="I29" s="21"/>
      <c r="J29" s="21"/>
      <c r="M29" s="21" t="s">
        <v>115</v>
      </c>
      <c r="N29" s="144" t="s">
        <v>257</v>
      </c>
      <c r="O29" s="208"/>
    </row>
    <row r="30" spans="2:15" ht="15.75">
      <c r="B30" s="17"/>
      <c r="E30" s="177"/>
      <c r="H30" s="24" t="s">
        <v>222</v>
      </c>
      <c r="I30" s="24"/>
      <c r="J30" s="24"/>
      <c r="K30" s="142" t="s">
        <v>225</v>
      </c>
      <c r="L30" s="142"/>
      <c r="M30" s="24" t="s">
        <v>116</v>
      </c>
      <c r="N30" s="146" t="s">
        <v>237</v>
      </c>
      <c r="O30" s="208"/>
    </row>
    <row r="31" spans="2:13" ht="15.75">
      <c r="B31" s="18" t="s">
        <v>209</v>
      </c>
      <c r="C31" s="22"/>
      <c r="D31" s="22"/>
      <c r="E31" s="22"/>
      <c r="F31" s="22"/>
      <c r="G31" s="22"/>
      <c r="H31" s="22"/>
      <c r="I31" s="22"/>
      <c r="J31" s="22"/>
      <c r="M31" s="22"/>
    </row>
    <row r="32" spans="3:15" ht="15.75">
      <c r="C32" s="17" t="s">
        <v>229</v>
      </c>
      <c r="D32" s="22"/>
      <c r="E32" s="22"/>
      <c r="G32" s="17"/>
      <c r="H32" s="173">
        <f>Input!B35</f>
        <v>59</v>
      </c>
      <c r="I32" s="178">
        <v>20</v>
      </c>
      <c r="J32" s="173" t="s">
        <v>233</v>
      </c>
      <c r="K32" s="169">
        <f>Input!D35</f>
        <v>1.2</v>
      </c>
      <c r="L32" s="169" t="s">
        <v>122</v>
      </c>
      <c r="M32" s="176">
        <f>Input!G35</f>
        <v>46</v>
      </c>
      <c r="N32" s="106">
        <f>(K32*M32)*Input!$D$13</f>
        <v>5520</v>
      </c>
      <c r="O32" s="18" t="s">
        <v>201</v>
      </c>
    </row>
    <row r="33" spans="3:15" ht="15.75">
      <c r="C33" s="17" t="s">
        <v>230</v>
      </c>
      <c r="D33" s="22"/>
      <c r="E33" s="22"/>
      <c r="G33" s="17"/>
      <c r="H33" s="173">
        <f>Input!B36</f>
        <v>10.75</v>
      </c>
      <c r="I33" s="178">
        <v>25</v>
      </c>
      <c r="J33" s="173" t="s">
        <v>233</v>
      </c>
      <c r="K33" s="169">
        <f>Input!D36</f>
        <v>1.2</v>
      </c>
      <c r="L33" s="169" t="s">
        <v>122</v>
      </c>
      <c r="M33" s="176">
        <f>M32+14</f>
        <v>60</v>
      </c>
      <c r="N33" s="106">
        <f>(K33*M33)*Input!$D$13</f>
        <v>7200</v>
      </c>
      <c r="O33" s="18" t="s">
        <v>201</v>
      </c>
    </row>
    <row r="34" spans="2:15" ht="15.75">
      <c r="B34" s="18" t="s">
        <v>211</v>
      </c>
      <c r="C34" s="22"/>
      <c r="D34" s="22"/>
      <c r="E34" s="22"/>
      <c r="G34" s="17"/>
      <c r="H34" s="173"/>
      <c r="I34" s="173"/>
      <c r="J34" s="173"/>
      <c r="K34" s="169"/>
      <c r="L34" s="169"/>
      <c r="M34" s="176"/>
      <c r="N34" s="106"/>
      <c r="O34" s="18"/>
    </row>
    <row r="35" spans="3:15" ht="15.75">
      <c r="C35" s="17" t="s">
        <v>231</v>
      </c>
      <c r="D35" s="22"/>
      <c r="E35" s="22"/>
      <c r="G35" s="91"/>
      <c r="H35" s="173">
        <f>Input!B38</f>
        <v>2.85</v>
      </c>
      <c r="I35" s="173" t="s">
        <v>267</v>
      </c>
      <c r="J35" s="173"/>
      <c r="K35" s="169">
        <f>Input!D38</f>
        <v>5.6</v>
      </c>
      <c r="L35" s="169" t="s">
        <v>122</v>
      </c>
      <c r="M35" s="176">
        <f>Input!G38</f>
        <v>200</v>
      </c>
      <c r="N35" s="106">
        <f>(K35*M35)*Input!$D$13</f>
        <v>112000</v>
      </c>
      <c r="O35" s="18" t="s">
        <v>201</v>
      </c>
    </row>
    <row r="36" spans="3:15" ht="15.75">
      <c r="C36" s="17" t="s">
        <v>299</v>
      </c>
      <c r="D36" s="22"/>
      <c r="E36" s="22"/>
      <c r="G36" s="17"/>
      <c r="H36" s="173">
        <f>Input!B39</f>
        <v>6.7</v>
      </c>
      <c r="I36" s="178">
        <v>25</v>
      </c>
      <c r="J36" s="173" t="s">
        <v>233</v>
      </c>
      <c r="K36" s="169">
        <f>Input!D39</f>
        <v>1</v>
      </c>
      <c r="L36" s="169" t="s">
        <v>122</v>
      </c>
      <c r="M36" s="179">
        <f>Input!G39</f>
        <v>200</v>
      </c>
      <c r="N36" s="106">
        <f>(K36*M36)*Input!$D$13</f>
        <v>20000</v>
      </c>
      <c r="O36" s="18" t="s">
        <v>201</v>
      </c>
    </row>
    <row r="37" spans="3:15" ht="15.75">
      <c r="C37" s="17" t="s">
        <v>232</v>
      </c>
      <c r="D37" s="22"/>
      <c r="E37" s="22"/>
      <c r="G37" s="17"/>
      <c r="H37" s="173">
        <f>Input!B40</f>
        <v>80</v>
      </c>
      <c r="I37" s="173" t="s">
        <v>228</v>
      </c>
      <c r="J37" s="173"/>
      <c r="K37" s="169">
        <f>Input!D40</f>
        <v>1.9</v>
      </c>
      <c r="L37" s="169" t="s">
        <v>122</v>
      </c>
      <c r="M37" s="176">
        <f>Input!G40</f>
        <v>200</v>
      </c>
      <c r="N37" s="106">
        <f>(K37*M37)*Input!$D$13</f>
        <v>38000</v>
      </c>
      <c r="O37" s="18" t="s">
        <v>201</v>
      </c>
    </row>
    <row r="38" spans="3:15" ht="15.75">
      <c r="C38" s="25" t="s">
        <v>273</v>
      </c>
      <c r="D38" s="22"/>
      <c r="E38" s="22"/>
      <c r="G38" s="17"/>
      <c r="H38" s="173">
        <f>Input!B41</f>
        <v>12.5</v>
      </c>
      <c r="I38" s="93">
        <v>25</v>
      </c>
      <c r="J38" s="173" t="s">
        <v>233</v>
      </c>
      <c r="K38" s="169">
        <f>Input!D41</f>
        <v>0.2</v>
      </c>
      <c r="L38" s="169" t="s">
        <v>122</v>
      </c>
      <c r="M38" s="194">
        <f>Input!G41</f>
        <v>200</v>
      </c>
      <c r="N38" s="106">
        <f>(K38*M38)*Input!$D$13</f>
        <v>4000</v>
      </c>
      <c r="O38" s="18" t="s">
        <v>201</v>
      </c>
    </row>
    <row r="39" spans="3:15" ht="15.75">
      <c r="C39" s="25"/>
      <c r="D39" s="22"/>
      <c r="E39" s="22"/>
      <c r="G39" s="17"/>
      <c r="H39" s="136"/>
      <c r="I39" s="93"/>
      <c r="J39" s="173"/>
      <c r="K39" s="132"/>
      <c r="L39" s="169"/>
      <c r="M39" s="93"/>
      <c r="N39" s="106"/>
      <c r="O39" s="18"/>
    </row>
    <row r="40" spans="2:15" ht="15.75">
      <c r="B40" s="211" t="s">
        <v>276</v>
      </c>
      <c r="C40" s="211"/>
      <c r="D40" s="211"/>
      <c r="E40" s="211"/>
      <c r="F40" s="211"/>
      <c r="G40" s="211"/>
      <c r="H40" s="211"/>
      <c r="I40" s="211"/>
      <c r="J40" s="211"/>
      <c r="K40" s="211"/>
      <c r="L40" s="211"/>
      <c r="M40" s="211"/>
      <c r="N40" s="106"/>
      <c r="O40" s="18"/>
    </row>
    <row r="41" spans="2:15" ht="15.75">
      <c r="B41" s="211"/>
      <c r="C41" s="211"/>
      <c r="D41" s="211"/>
      <c r="E41" s="211"/>
      <c r="F41" s="211"/>
      <c r="G41" s="211"/>
      <c r="H41" s="211"/>
      <c r="I41" s="211"/>
      <c r="J41" s="211"/>
      <c r="K41" s="211"/>
      <c r="L41" s="211"/>
      <c r="M41" s="211"/>
      <c r="N41" s="106"/>
      <c r="O41" s="18"/>
    </row>
    <row r="42" spans="2:15" ht="15.75">
      <c r="B42" s="211"/>
      <c r="C42" s="211"/>
      <c r="D42" s="211"/>
      <c r="E42" s="211"/>
      <c r="F42" s="211"/>
      <c r="G42" s="211"/>
      <c r="H42" s="211"/>
      <c r="I42" s="211"/>
      <c r="J42" s="211"/>
      <c r="K42" s="211"/>
      <c r="L42" s="211"/>
      <c r="M42" s="211"/>
      <c r="N42" s="106"/>
      <c r="O42" s="18"/>
    </row>
    <row r="43" spans="2:15" ht="15.75">
      <c r="B43" s="211"/>
      <c r="C43" s="211"/>
      <c r="D43" s="211"/>
      <c r="E43" s="211"/>
      <c r="F43" s="211"/>
      <c r="G43" s="211"/>
      <c r="H43" s="211"/>
      <c r="I43" s="211"/>
      <c r="J43" s="211"/>
      <c r="K43" s="211"/>
      <c r="L43" s="211"/>
      <c r="M43" s="211"/>
      <c r="N43" s="106"/>
      <c r="O43" s="18"/>
    </row>
    <row r="44" spans="4:5" ht="15">
      <c r="D44" s="52"/>
      <c r="E44" s="52"/>
    </row>
    <row r="45" spans="2:13" ht="15.75">
      <c r="B45" s="53" t="s">
        <v>64</v>
      </c>
      <c r="D45" s="52"/>
      <c r="E45" s="52"/>
      <c r="M45" s="54" t="s">
        <v>65</v>
      </c>
    </row>
    <row r="46" spans="4:5" ht="15">
      <c r="D46" s="52"/>
      <c r="E46" s="52"/>
    </row>
    <row r="47" spans="2:5" ht="15.75">
      <c r="B47" s="53" t="s">
        <v>63</v>
      </c>
      <c r="D47" s="52"/>
      <c r="E47" s="52"/>
    </row>
    <row r="48" spans="3:5" ht="15.75">
      <c r="C48" s="53" t="s">
        <v>176</v>
      </c>
      <c r="D48" s="52"/>
      <c r="E48" s="52"/>
    </row>
    <row r="49" spans="4:13" ht="15">
      <c r="D49" s="52"/>
      <c r="E49" s="52"/>
      <c r="F49" s="137">
        <f>Input!G35</f>
        <v>46</v>
      </c>
      <c r="H49" s="34" t="s">
        <v>177</v>
      </c>
      <c r="M49" s="55"/>
    </row>
    <row r="50" spans="4:13" ht="15">
      <c r="D50" s="52" t="s">
        <v>35</v>
      </c>
      <c r="E50" s="52"/>
      <c r="F50" s="180">
        <f>Input!D35</f>
        <v>1.2</v>
      </c>
      <c r="H50" s="34" t="s">
        <v>122</v>
      </c>
      <c r="M50" s="55"/>
    </row>
    <row r="51" spans="4:13" ht="15">
      <c r="D51" s="69" t="s">
        <v>35</v>
      </c>
      <c r="E51" s="56"/>
      <c r="F51" s="181">
        <f>ROUND((Input!B35/20)/2.2046,2)</f>
        <v>1.34</v>
      </c>
      <c r="G51" s="57"/>
      <c r="H51" s="57" t="s">
        <v>178</v>
      </c>
      <c r="I51" s="57"/>
      <c r="J51" s="57"/>
      <c r="K51" s="57"/>
      <c r="L51" s="57"/>
      <c r="M51" s="55"/>
    </row>
    <row r="52" spans="4:13" ht="15.75">
      <c r="D52" s="58" t="s">
        <v>36</v>
      </c>
      <c r="E52" s="58"/>
      <c r="F52" s="182">
        <f>ROUND((F49*F50)*F51,2)</f>
        <v>73.97</v>
      </c>
      <c r="G52" s="53"/>
      <c r="H52" s="53" t="s">
        <v>37</v>
      </c>
      <c r="I52" s="53"/>
      <c r="J52" s="53"/>
      <c r="K52" s="53"/>
      <c r="L52" s="53"/>
      <c r="M52" s="55"/>
    </row>
    <row r="53" spans="4:5" ht="15">
      <c r="D53" s="52"/>
      <c r="E53" s="52"/>
    </row>
    <row r="54" spans="3:5" ht="15.75">
      <c r="C54" s="53" t="s">
        <v>180</v>
      </c>
      <c r="D54" s="52"/>
      <c r="E54" s="52"/>
    </row>
    <row r="55" spans="4:13" ht="15">
      <c r="D55" s="52"/>
      <c r="E55" s="52"/>
      <c r="F55" s="137">
        <f>Input!G36</f>
        <v>60</v>
      </c>
      <c r="H55" s="34" t="s">
        <v>181</v>
      </c>
      <c r="M55" s="55"/>
    </row>
    <row r="56" spans="4:13" ht="15">
      <c r="D56" s="52" t="s">
        <v>35</v>
      </c>
      <c r="E56" s="52"/>
      <c r="F56" s="183">
        <f>Input!D36</f>
        <v>1.2</v>
      </c>
      <c r="H56" s="34" t="s">
        <v>122</v>
      </c>
      <c r="M56" s="60"/>
    </row>
    <row r="57" spans="4:13" ht="15">
      <c r="D57" s="69" t="s">
        <v>35</v>
      </c>
      <c r="E57" s="56"/>
      <c r="F57" s="181">
        <f>ROUND((Input!B36/25)/2.2046,2)</f>
        <v>0.2</v>
      </c>
      <c r="H57" s="57" t="s">
        <v>182</v>
      </c>
      <c r="I57" s="57"/>
      <c r="J57" s="57"/>
      <c r="K57" s="57"/>
      <c r="L57" s="57"/>
      <c r="M57" s="60"/>
    </row>
    <row r="58" spans="4:13" ht="15.75">
      <c r="D58" s="58" t="s">
        <v>36</v>
      </c>
      <c r="E58" s="58"/>
      <c r="F58" s="182">
        <f>ROUND((F55*F56)*F57,2)</f>
        <v>14.4</v>
      </c>
      <c r="H58" s="53" t="s">
        <v>37</v>
      </c>
      <c r="I58" s="53"/>
      <c r="J58" s="53"/>
      <c r="K58" s="53"/>
      <c r="L58" s="53"/>
      <c r="M58" s="60"/>
    </row>
    <row r="59" spans="4:12" ht="15.75">
      <c r="D59" s="58"/>
      <c r="E59" s="58"/>
      <c r="F59" s="59"/>
      <c r="H59" s="53"/>
      <c r="I59" s="53"/>
      <c r="J59" s="53"/>
      <c r="K59" s="53"/>
      <c r="L59" s="53"/>
    </row>
    <row r="60" spans="3:5" ht="15.75">
      <c r="C60" s="53" t="s">
        <v>206</v>
      </c>
      <c r="D60" s="52"/>
      <c r="E60" s="52"/>
    </row>
    <row r="61" spans="4:13" ht="15">
      <c r="D61" s="52"/>
      <c r="E61" s="52"/>
      <c r="F61" s="137">
        <f>Input!G39</f>
        <v>200</v>
      </c>
      <c r="H61" s="34" t="s">
        <v>239</v>
      </c>
      <c r="M61" s="55"/>
    </row>
    <row r="62" spans="4:13" ht="15">
      <c r="D62" s="52" t="s">
        <v>35</v>
      </c>
      <c r="E62" s="52"/>
      <c r="F62" s="184">
        <f>Input!D38</f>
        <v>5.6</v>
      </c>
      <c r="H62" s="34" t="s">
        <v>240</v>
      </c>
      <c r="M62" s="55"/>
    </row>
    <row r="63" spans="4:13" ht="15">
      <c r="D63" s="69" t="s">
        <v>35</v>
      </c>
      <c r="E63" s="56"/>
      <c r="F63" s="181">
        <f>ROUND(Input!B38/48,2)</f>
        <v>0.06</v>
      </c>
      <c r="G63" s="57"/>
      <c r="H63" s="57" t="s">
        <v>182</v>
      </c>
      <c r="I63" s="57"/>
      <c r="J63" s="57"/>
      <c r="K63" s="57"/>
      <c r="L63" s="57"/>
      <c r="M63" s="55"/>
    </row>
    <row r="64" spans="4:13" ht="15.75">
      <c r="D64" s="58" t="s">
        <v>36</v>
      </c>
      <c r="E64" s="58"/>
      <c r="F64" s="182">
        <f>(F61*F62)*F63</f>
        <v>67.2</v>
      </c>
      <c r="G64" s="53"/>
      <c r="H64" s="53" t="s">
        <v>37</v>
      </c>
      <c r="I64" s="53"/>
      <c r="J64" s="53"/>
      <c r="K64" s="53"/>
      <c r="L64" s="53"/>
      <c r="M64" s="55"/>
    </row>
    <row r="65" spans="4:5" ht="15">
      <c r="D65" s="52"/>
      <c r="E65" s="52"/>
    </row>
    <row r="66" spans="3:5" ht="15.75">
      <c r="C66" s="53" t="s">
        <v>238</v>
      </c>
      <c r="D66" s="52"/>
      <c r="E66" s="52"/>
    </row>
    <row r="67" spans="4:13" ht="15">
      <c r="D67" s="52"/>
      <c r="E67" s="52"/>
      <c r="F67" s="92">
        <f>Input!G39</f>
        <v>200</v>
      </c>
      <c r="H67" s="34" t="s">
        <v>239</v>
      </c>
      <c r="M67" s="55"/>
    </row>
    <row r="68" spans="4:13" ht="15">
      <c r="D68" s="52" t="s">
        <v>35</v>
      </c>
      <c r="E68" s="52"/>
      <c r="F68" s="96">
        <f>Input!D39</f>
        <v>1</v>
      </c>
      <c r="H68" s="34" t="s">
        <v>240</v>
      </c>
      <c r="M68" s="55"/>
    </row>
    <row r="69" spans="4:13" ht="15">
      <c r="D69" s="69" t="s">
        <v>35</v>
      </c>
      <c r="E69" s="52"/>
      <c r="F69" s="97">
        <f>ROUND((Input!B39/25)/2.2406,2)</f>
        <v>0.12</v>
      </c>
      <c r="H69" s="57" t="s">
        <v>182</v>
      </c>
      <c r="I69" s="57"/>
      <c r="J69" s="57"/>
      <c r="M69" s="55"/>
    </row>
    <row r="70" spans="4:13" ht="15.75">
      <c r="D70" s="58" t="s">
        <v>36</v>
      </c>
      <c r="E70" s="52"/>
      <c r="F70" s="182">
        <f>ROUND((F67*F68)*F69,2)</f>
        <v>24</v>
      </c>
      <c r="H70" s="53" t="s">
        <v>37</v>
      </c>
      <c r="I70" s="53"/>
      <c r="J70" s="53"/>
      <c r="M70" s="60"/>
    </row>
    <row r="71" spans="4:5" ht="15">
      <c r="D71" s="52"/>
      <c r="E71" s="52"/>
    </row>
    <row r="72" spans="3:13" ht="15.75">
      <c r="C72" s="53" t="s">
        <v>207</v>
      </c>
      <c r="D72" s="52"/>
      <c r="E72" s="52"/>
      <c r="M72" s="55"/>
    </row>
    <row r="73" spans="4:13" ht="15">
      <c r="D73" s="52"/>
      <c r="E73" s="52"/>
      <c r="F73" s="137">
        <f>Input!G40</f>
        <v>200</v>
      </c>
      <c r="H73" s="34" t="s">
        <v>239</v>
      </c>
      <c r="M73" s="55"/>
    </row>
    <row r="74" spans="4:13" ht="15">
      <c r="D74" s="52" t="s">
        <v>35</v>
      </c>
      <c r="E74" s="52"/>
      <c r="F74" s="180">
        <f>Input!D40</f>
        <v>1.9</v>
      </c>
      <c r="H74" s="34" t="s">
        <v>240</v>
      </c>
      <c r="M74" s="55"/>
    </row>
    <row r="75" spans="4:13" ht="15">
      <c r="D75" s="69" t="s">
        <v>35</v>
      </c>
      <c r="E75" s="56"/>
      <c r="F75" s="181">
        <f>Input!B40</f>
        <v>80</v>
      </c>
      <c r="G75" s="57"/>
      <c r="H75" s="57" t="s">
        <v>38</v>
      </c>
      <c r="I75" s="57"/>
      <c r="J75" s="57"/>
      <c r="K75" s="57"/>
      <c r="L75" s="57"/>
      <c r="M75" s="55"/>
    </row>
    <row r="76" spans="4:13" ht="15.75">
      <c r="D76" s="58" t="s">
        <v>36</v>
      </c>
      <c r="E76" s="58"/>
      <c r="F76" s="182">
        <f>(F73*F74)*(F75/2000)</f>
        <v>15.200000000000001</v>
      </c>
      <c r="G76" s="53"/>
      <c r="H76" s="53" t="s">
        <v>37</v>
      </c>
      <c r="I76" s="53"/>
      <c r="J76" s="53"/>
      <c r="K76" s="53"/>
      <c r="L76" s="53"/>
      <c r="M76" s="55"/>
    </row>
    <row r="77" spans="4:5" ht="15">
      <c r="D77" s="52"/>
      <c r="E77" s="52"/>
    </row>
    <row r="78" spans="3:5" ht="15.75">
      <c r="C78" s="53" t="s">
        <v>241</v>
      </c>
      <c r="D78" s="52"/>
      <c r="E78" s="52"/>
    </row>
    <row r="79" spans="4:13" ht="15">
      <c r="D79" s="52"/>
      <c r="E79" s="52"/>
      <c r="F79" s="92">
        <f>Input!G41</f>
        <v>200</v>
      </c>
      <c r="H79" s="34" t="s">
        <v>239</v>
      </c>
      <c r="M79" s="55"/>
    </row>
    <row r="80" spans="4:13" ht="15">
      <c r="D80" s="52" t="s">
        <v>35</v>
      </c>
      <c r="E80" s="52"/>
      <c r="F80" s="96">
        <f>Input!D41</f>
        <v>0.2</v>
      </c>
      <c r="H80" s="34" t="s">
        <v>240</v>
      </c>
      <c r="M80" s="55"/>
    </row>
    <row r="81" spans="4:13" ht="15">
      <c r="D81" s="69" t="s">
        <v>35</v>
      </c>
      <c r="E81" s="52"/>
      <c r="F81" s="97">
        <f>ROUND((Input!B41/25)/2.2046,2)</f>
        <v>0.23</v>
      </c>
      <c r="H81" s="57" t="s">
        <v>216</v>
      </c>
      <c r="I81" s="57"/>
      <c r="J81" s="57"/>
      <c r="M81" s="55"/>
    </row>
    <row r="82" spans="4:13" ht="15.75">
      <c r="D82" s="58" t="s">
        <v>36</v>
      </c>
      <c r="E82" s="52"/>
      <c r="F82" s="182">
        <f>(F79*F80)*F81</f>
        <v>9.200000000000001</v>
      </c>
      <c r="H82" s="53" t="s">
        <v>37</v>
      </c>
      <c r="I82" s="53"/>
      <c r="J82" s="53"/>
      <c r="M82" s="55"/>
    </row>
    <row r="83" spans="4:5" ht="15">
      <c r="D83" s="52"/>
      <c r="E83" s="52"/>
    </row>
    <row r="84" spans="2:5" ht="15.75">
      <c r="B84" s="53" t="s">
        <v>62</v>
      </c>
      <c r="D84" s="52"/>
      <c r="E84" s="52"/>
    </row>
    <row r="85" spans="3:5" ht="15.75">
      <c r="C85" s="53" t="s">
        <v>269</v>
      </c>
      <c r="D85" s="52"/>
      <c r="E85" s="52"/>
    </row>
    <row r="86" spans="3:13" ht="15">
      <c r="C86" s="34" t="s">
        <v>39</v>
      </c>
      <c r="D86" s="52"/>
      <c r="E86" s="52"/>
      <c r="F86" s="185">
        <f>Input!D46</f>
        <v>5</v>
      </c>
      <c r="H86" s="34" t="s">
        <v>37</v>
      </c>
      <c r="M86" s="55"/>
    </row>
    <row r="87" spans="4:5" ht="15">
      <c r="D87" s="52"/>
      <c r="E87" s="52"/>
    </row>
    <row r="88" spans="3:13" ht="15">
      <c r="C88" s="34" t="s">
        <v>40</v>
      </c>
      <c r="D88" s="52"/>
      <c r="E88" s="52"/>
      <c r="F88" s="185">
        <f>Input!D47</f>
        <v>1.25</v>
      </c>
      <c r="H88" s="34" t="s">
        <v>147</v>
      </c>
      <c r="M88" s="55"/>
    </row>
    <row r="89" spans="4:13" ht="15">
      <c r="D89" s="52" t="s">
        <v>35</v>
      </c>
      <c r="E89" s="52"/>
      <c r="F89" s="137">
        <f>Input!D15</f>
        <v>100</v>
      </c>
      <c r="H89" s="34" t="s">
        <v>41</v>
      </c>
      <c r="M89" s="55"/>
    </row>
    <row r="90" spans="4:13" ht="15">
      <c r="D90" s="69" t="s">
        <v>42</v>
      </c>
      <c r="E90" s="56"/>
      <c r="F90" s="186">
        <v>100</v>
      </c>
      <c r="G90" s="57"/>
      <c r="H90" s="57" t="s">
        <v>43</v>
      </c>
      <c r="I90" s="57"/>
      <c r="J90" s="57"/>
      <c r="K90" s="57"/>
      <c r="L90" s="57"/>
      <c r="M90" s="55" t="s">
        <v>0</v>
      </c>
    </row>
    <row r="91" spans="4:13" ht="15">
      <c r="D91" s="56" t="s">
        <v>36</v>
      </c>
      <c r="E91" s="56"/>
      <c r="F91" s="185">
        <f>ROUND(F88*F89/F90,2)</f>
        <v>1.25</v>
      </c>
      <c r="H91" s="34" t="s">
        <v>37</v>
      </c>
      <c r="M91" s="55"/>
    </row>
    <row r="92" spans="4:5" ht="15">
      <c r="D92" s="52"/>
      <c r="E92" s="52"/>
    </row>
    <row r="93" spans="3:13" ht="15">
      <c r="C93" s="34" t="s">
        <v>44</v>
      </c>
      <c r="D93" s="52"/>
      <c r="E93" s="52"/>
      <c r="F93" s="137">
        <f>Input!D15</f>
        <v>100</v>
      </c>
      <c r="H93" s="34" t="s">
        <v>41</v>
      </c>
      <c r="M93" s="55"/>
    </row>
    <row r="94" spans="4:13" ht="15">
      <c r="D94" s="52" t="s">
        <v>35</v>
      </c>
      <c r="E94" s="52"/>
      <c r="F94" s="185">
        <f>Input!D17</f>
        <v>200</v>
      </c>
      <c r="H94" s="34" t="s">
        <v>147</v>
      </c>
      <c r="M94" s="55"/>
    </row>
    <row r="95" spans="4:13" ht="15">
      <c r="D95" s="69" t="s">
        <v>42</v>
      </c>
      <c r="E95" s="56"/>
      <c r="F95" s="186">
        <v>100</v>
      </c>
      <c r="H95" s="57" t="s">
        <v>43</v>
      </c>
      <c r="I95" s="57"/>
      <c r="J95" s="57"/>
      <c r="K95" s="57"/>
      <c r="L95" s="57"/>
      <c r="M95" s="55" t="s">
        <v>0</v>
      </c>
    </row>
    <row r="96" spans="4:13" ht="15">
      <c r="D96" s="52" t="s">
        <v>36</v>
      </c>
      <c r="E96" s="52"/>
      <c r="F96" s="185">
        <f>ROUND(F93/100*F94,2)</f>
        <v>200</v>
      </c>
      <c r="H96" s="34" t="s">
        <v>37</v>
      </c>
      <c r="M96" s="55"/>
    </row>
    <row r="97" spans="4:5" ht="15">
      <c r="D97" s="52"/>
      <c r="E97" s="52"/>
    </row>
    <row r="98" spans="3:13" ht="15.75">
      <c r="C98" s="53" t="s">
        <v>45</v>
      </c>
      <c r="D98" s="58" t="s">
        <v>36</v>
      </c>
      <c r="E98" s="58"/>
      <c r="F98" s="182">
        <f>F86+F91+F96</f>
        <v>206.25</v>
      </c>
      <c r="G98" s="53"/>
      <c r="H98" s="53" t="s">
        <v>37</v>
      </c>
      <c r="I98" s="53"/>
      <c r="J98" s="53"/>
      <c r="K98" s="53"/>
      <c r="L98" s="53"/>
      <c r="M98" s="55"/>
    </row>
    <row r="99" spans="4:5" ht="15">
      <c r="D99" s="52"/>
      <c r="E99" s="52"/>
    </row>
    <row r="100" spans="3:5" ht="15.75">
      <c r="C100" s="53" t="s">
        <v>270</v>
      </c>
      <c r="D100" s="52"/>
      <c r="E100" s="52"/>
    </row>
    <row r="101" spans="4:13" ht="15">
      <c r="D101" s="52"/>
      <c r="E101" s="52"/>
      <c r="F101" s="184">
        <f>Input!D50</f>
        <v>2</v>
      </c>
      <c r="H101" s="34" t="s">
        <v>122</v>
      </c>
      <c r="M101" s="55"/>
    </row>
    <row r="102" spans="4:13" ht="15">
      <c r="D102" s="52" t="s">
        <v>35</v>
      </c>
      <c r="E102" s="52"/>
      <c r="F102" s="137">
        <f>Input!D28+Input!D27</f>
        <v>246</v>
      </c>
      <c r="H102" s="34" t="s">
        <v>242</v>
      </c>
      <c r="M102" s="55"/>
    </row>
    <row r="103" spans="4:13" ht="15">
      <c r="D103" s="69" t="s">
        <v>35</v>
      </c>
      <c r="E103" s="56"/>
      <c r="F103" s="181">
        <f>Input!D51</f>
        <v>20</v>
      </c>
      <c r="G103" s="57"/>
      <c r="H103" s="57" t="s">
        <v>38</v>
      </c>
      <c r="I103" s="57"/>
      <c r="J103" s="57"/>
      <c r="K103" s="57"/>
      <c r="L103" s="57"/>
      <c r="M103" s="55"/>
    </row>
    <row r="104" spans="4:13" ht="15.75">
      <c r="D104" s="58" t="s">
        <v>36</v>
      </c>
      <c r="E104" s="58"/>
      <c r="F104" s="182">
        <f>ROUND((F101*F102)*(F103/2000),2)</f>
        <v>4.92</v>
      </c>
      <c r="G104" s="53"/>
      <c r="H104" s="53" t="s">
        <v>37</v>
      </c>
      <c r="I104" s="53"/>
      <c r="J104" s="53"/>
      <c r="K104" s="53"/>
      <c r="L104" s="53"/>
      <c r="M104" s="55"/>
    </row>
    <row r="105" spans="4:5" ht="15">
      <c r="D105" s="52"/>
      <c r="E105" s="52"/>
    </row>
    <row r="106" spans="3:5" ht="15.75">
      <c r="C106" s="53" t="s">
        <v>133</v>
      </c>
      <c r="D106" s="52"/>
      <c r="E106" s="52"/>
    </row>
    <row r="107" spans="3:5" ht="15">
      <c r="C107" s="34" t="s">
        <v>47</v>
      </c>
      <c r="D107" s="52"/>
      <c r="E107" s="52"/>
    </row>
    <row r="108" spans="4:13" ht="15">
      <c r="D108" s="52"/>
      <c r="E108" s="52"/>
      <c r="F108" s="185">
        <f>Input!D55</f>
        <v>0.1</v>
      </c>
      <c r="H108" s="34" t="str">
        <f>Input!A55</f>
        <v>Vitamin A-D</v>
      </c>
      <c r="M108" s="55"/>
    </row>
    <row r="109" spans="4:13" ht="15">
      <c r="D109" s="52" t="s">
        <v>48</v>
      </c>
      <c r="E109" s="52"/>
      <c r="F109" s="185">
        <f>Input!D56</f>
        <v>0.15</v>
      </c>
      <c r="H109" s="34" t="str">
        <f>Input!A56</f>
        <v>Vitamin E/Selenium</v>
      </c>
      <c r="M109" s="55"/>
    </row>
    <row r="110" spans="4:13" ht="15">
      <c r="D110" s="52" t="s">
        <v>48</v>
      </c>
      <c r="E110" s="52"/>
      <c r="F110" s="185">
        <f>Input!D57</f>
        <v>0.54</v>
      </c>
      <c r="H110" s="34" t="str">
        <f>Input!A57</f>
        <v>Blackleg 8-way</v>
      </c>
      <c r="M110" s="55"/>
    </row>
    <row r="111" spans="4:13" ht="15">
      <c r="D111" s="52" t="s">
        <v>48</v>
      </c>
      <c r="E111" s="52"/>
      <c r="F111" s="185">
        <f>Input!D58</f>
        <v>1.61</v>
      </c>
      <c r="H111" s="34" t="str">
        <f>Input!A58</f>
        <v>IBR,4-way</v>
      </c>
      <c r="M111" s="55"/>
    </row>
    <row r="112" spans="4:13" ht="15">
      <c r="D112" s="52" t="s">
        <v>48</v>
      </c>
      <c r="E112" s="52"/>
      <c r="F112" s="185">
        <f>Input!D59</f>
        <v>0.05</v>
      </c>
      <c r="H112" s="34" t="str">
        <f>Input!A59</f>
        <v>Liquamycin LA</v>
      </c>
      <c r="M112" s="55"/>
    </row>
    <row r="113" spans="4:13" ht="15">
      <c r="D113" s="56" t="s">
        <v>48</v>
      </c>
      <c r="E113" s="56"/>
      <c r="F113" s="185">
        <f>Input!D60</f>
        <v>4.24</v>
      </c>
      <c r="G113" s="85"/>
      <c r="H113" s="34" t="str">
        <f>Input!A60</f>
        <v>Electrolyte Packets</v>
      </c>
      <c r="M113" s="55"/>
    </row>
    <row r="114" spans="4:13" ht="15">
      <c r="D114" s="56" t="s">
        <v>48</v>
      </c>
      <c r="E114" s="56"/>
      <c r="F114" s="185">
        <f>Input!D61</f>
        <v>1.65</v>
      </c>
      <c r="G114" s="57"/>
      <c r="H114" s="34" t="str">
        <f>Input!A61</f>
        <v>Growth Implants</v>
      </c>
      <c r="M114" s="55"/>
    </row>
    <row r="115" spans="4:13" ht="15">
      <c r="D115" s="56" t="s">
        <v>48</v>
      </c>
      <c r="E115" s="56"/>
      <c r="F115" s="185">
        <f>Input!D62</f>
        <v>3</v>
      </c>
      <c r="G115" s="57"/>
      <c r="H115" s="34" t="str">
        <f>Input!A62</f>
        <v>Scourguard</v>
      </c>
      <c r="M115" s="55"/>
    </row>
    <row r="116" spans="4:13" ht="15">
      <c r="D116" s="56" t="s">
        <v>48</v>
      </c>
      <c r="E116" s="56"/>
      <c r="F116" s="185">
        <f>Input!D63</f>
        <v>0.02</v>
      </c>
      <c r="G116" s="57"/>
      <c r="H116" s="34" t="str">
        <f>Input!A63</f>
        <v>B-12</v>
      </c>
      <c r="M116" s="55"/>
    </row>
    <row r="117" spans="4:13" ht="15">
      <c r="D117" s="56" t="s">
        <v>48</v>
      </c>
      <c r="E117" s="56"/>
      <c r="F117" s="185">
        <f>Input!D64</f>
        <v>0.7</v>
      </c>
      <c r="G117" s="57"/>
      <c r="H117" s="34" t="str">
        <f>Input!A64</f>
        <v>Internal/External Parasites</v>
      </c>
      <c r="M117" s="55"/>
    </row>
    <row r="118" spans="4:13" ht="15">
      <c r="D118" s="56" t="s">
        <v>48</v>
      </c>
      <c r="E118" s="56"/>
      <c r="F118" s="185">
        <f>Input!D65</f>
        <v>1</v>
      </c>
      <c r="G118" s="57"/>
      <c r="H118" s="34" t="str">
        <f>Input!A65</f>
        <v>Castration</v>
      </c>
      <c r="M118" s="55"/>
    </row>
    <row r="119" spans="4:13" ht="15">
      <c r="D119" s="69" t="s">
        <v>48</v>
      </c>
      <c r="E119" s="69"/>
      <c r="F119" s="181">
        <f>Input!D66</f>
        <v>1</v>
      </c>
      <c r="G119" s="57"/>
      <c r="H119" s="68" t="str">
        <f>Input!A66</f>
        <v>De-horning</v>
      </c>
      <c r="I119" s="68"/>
      <c r="J119" s="68"/>
      <c r="M119" s="55"/>
    </row>
    <row r="120" spans="4:13" ht="15.75">
      <c r="D120" s="86" t="s">
        <v>36</v>
      </c>
      <c r="E120" s="86"/>
      <c r="F120" s="182">
        <f>SUM(F108:F113)</f>
        <v>6.69</v>
      </c>
      <c r="G120" s="18"/>
      <c r="H120" s="18" t="s">
        <v>49</v>
      </c>
      <c r="I120" s="18"/>
      <c r="J120" s="18"/>
      <c r="M120" s="55"/>
    </row>
    <row r="121" spans="4:6" ht="15">
      <c r="D121" s="52"/>
      <c r="E121" s="52"/>
      <c r="F121" s="36"/>
    </row>
    <row r="122" spans="3:5" ht="15.75">
      <c r="C122" s="53" t="s">
        <v>134</v>
      </c>
      <c r="D122" s="52"/>
      <c r="E122" s="52"/>
    </row>
    <row r="123" spans="4:13" ht="15">
      <c r="D123" s="52"/>
      <c r="E123" s="52"/>
      <c r="F123" s="185">
        <f>Input!D69</f>
        <v>300</v>
      </c>
      <c r="H123" s="34" t="s">
        <v>106</v>
      </c>
      <c r="M123" s="55"/>
    </row>
    <row r="124" spans="4:13" ht="15">
      <c r="D124" s="52" t="s">
        <v>48</v>
      </c>
      <c r="E124" s="52"/>
      <c r="F124" s="185">
        <f>Input!D70</f>
        <v>100</v>
      </c>
      <c r="H124" s="34" t="s">
        <v>107</v>
      </c>
      <c r="M124" s="55"/>
    </row>
    <row r="125" spans="4:13" ht="15">
      <c r="D125" s="69" t="s">
        <v>42</v>
      </c>
      <c r="E125" s="56"/>
      <c r="F125" s="186">
        <f>Input!D13</f>
        <v>100</v>
      </c>
      <c r="G125" s="57"/>
      <c r="H125" s="57" t="s">
        <v>219</v>
      </c>
      <c r="I125" s="57"/>
      <c r="J125" s="57"/>
      <c r="K125" s="57"/>
      <c r="L125" s="57"/>
      <c r="M125" s="55"/>
    </row>
    <row r="126" spans="4:13" ht="15.75">
      <c r="D126" s="58" t="s">
        <v>36</v>
      </c>
      <c r="E126" s="58"/>
      <c r="F126" s="182">
        <f>SUM(F123+F124)/F125</f>
        <v>4</v>
      </c>
      <c r="G126" s="53"/>
      <c r="H126" s="53" t="s">
        <v>37</v>
      </c>
      <c r="I126" s="53"/>
      <c r="J126" s="53"/>
      <c r="K126" s="53"/>
      <c r="L126" s="53"/>
      <c r="M126" s="55"/>
    </row>
    <row r="127" spans="4:5" ht="15">
      <c r="D127" s="52"/>
      <c r="E127" s="52"/>
    </row>
    <row r="128" spans="3:5" ht="15.75">
      <c r="C128" s="53" t="s">
        <v>135</v>
      </c>
      <c r="D128" s="52"/>
      <c r="E128" s="52"/>
    </row>
    <row r="129" spans="4:13" ht="15">
      <c r="D129" s="52"/>
      <c r="E129" s="52"/>
      <c r="F129" s="185">
        <f>Input!D73</f>
        <v>800</v>
      </c>
      <c r="H129" s="34" t="s">
        <v>108</v>
      </c>
      <c r="M129" s="55"/>
    </row>
    <row r="130" spans="4:13" ht="15">
      <c r="D130" s="69" t="s">
        <v>42</v>
      </c>
      <c r="E130" s="56"/>
      <c r="F130" s="186">
        <f>Input!D13</f>
        <v>100</v>
      </c>
      <c r="G130" s="57"/>
      <c r="H130" s="57" t="s">
        <v>219</v>
      </c>
      <c r="I130" s="57"/>
      <c r="J130" s="57"/>
      <c r="K130" s="57"/>
      <c r="L130" s="57"/>
      <c r="M130" s="55"/>
    </row>
    <row r="131" spans="4:13" ht="15.75">
      <c r="D131" s="58" t="s">
        <v>36</v>
      </c>
      <c r="E131" s="58"/>
      <c r="F131" s="182">
        <f>ROUND((F129)/F130,2)</f>
        <v>8</v>
      </c>
      <c r="G131" s="53"/>
      <c r="H131" s="53" t="s">
        <v>37</v>
      </c>
      <c r="I131" s="53"/>
      <c r="J131" s="53"/>
      <c r="K131" s="53"/>
      <c r="L131" s="53"/>
      <c r="M131" s="55"/>
    </row>
    <row r="132" spans="4:5" ht="15">
      <c r="D132" s="52"/>
      <c r="E132" s="52"/>
    </row>
    <row r="133" spans="3:5" ht="15.75">
      <c r="C133" s="53" t="s">
        <v>136</v>
      </c>
      <c r="D133" s="52"/>
      <c r="E133" s="52"/>
    </row>
    <row r="134" spans="3:5" ht="15">
      <c r="C134" s="34" t="s">
        <v>137</v>
      </c>
      <c r="D134" s="52"/>
      <c r="E134" s="52"/>
    </row>
    <row r="135" spans="4:13" ht="15">
      <c r="D135" s="52"/>
      <c r="E135" s="52"/>
      <c r="F135" s="137">
        <f>Input!D76</f>
        <v>530</v>
      </c>
      <c r="H135" s="34" t="s">
        <v>41</v>
      </c>
      <c r="M135" s="55"/>
    </row>
    <row r="136" spans="4:13" ht="15">
      <c r="D136" s="52" t="s">
        <v>42</v>
      </c>
      <c r="E136" s="52"/>
      <c r="F136" s="137">
        <v>100</v>
      </c>
      <c r="H136" s="34" t="s">
        <v>43</v>
      </c>
      <c r="M136" s="55"/>
    </row>
    <row r="137" spans="4:13" ht="15">
      <c r="D137" s="69" t="s">
        <v>35</v>
      </c>
      <c r="E137" s="56"/>
      <c r="F137" s="181">
        <f>Input!D77</f>
        <v>1.25</v>
      </c>
      <c r="G137" s="57"/>
      <c r="H137" s="57" t="s">
        <v>51</v>
      </c>
      <c r="I137" s="57"/>
      <c r="J137" s="57"/>
      <c r="K137" s="57"/>
      <c r="L137" s="57"/>
      <c r="M137" s="55"/>
    </row>
    <row r="138" spans="4:13" ht="15">
      <c r="D138" s="52" t="s">
        <v>36</v>
      </c>
      <c r="E138" s="52"/>
      <c r="F138" s="185">
        <f>ROUND(F135*F137/F136,2)</f>
        <v>6.63</v>
      </c>
      <c r="H138" s="34" t="s">
        <v>37</v>
      </c>
      <c r="M138" s="55"/>
    </row>
    <row r="139" spans="4:5" ht="15">
      <c r="D139" s="52"/>
      <c r="E139" s="52"/>
    </row>
    <row r="140" spans="3:5" ht="15">
      <c r="C140" s="34" t="s">
        <v>138</v>
      </c>
      <c r="D140" s="52"/>
      <c r="E140" s="52"/>
    </row>
    <row r="141" spans="4:13" ht="15">
      <c r="D141" s="52"/>
      <c r="E141" s="52"/>
      <c r="F141" s="185">
        <f>Input!D80</f>
        <v>15</v>
      </c>
      <c r="H141" s="34" t="s">
        <v>52</v>
      </c>
      <c r="M141" s="55"/>
    </row>
    <row r="142" spans="4:13" ht="15">
      <c r="D142" s="69" t="s">
        <v>48</v>
      </c>
      <c r="E142" s="56"/>
      <c r="F142" s="181">
        <f>Input!D82</f>
        <v>0.75</v>
      </c>
      <c r="G142" s="57"/>
      <c r="H142" s="57" t="s">
        <v>53</v>
      </c>
      <c r="I142" s="57"/>
      <c r="J142" s="57"/>
      <c r="K142" s="57"/>
      <c r="L142" s="57"/>
      <c r="M142" s="55"/>
    </row>
    <row r="143" spans="4:13" ht="15">
      <c r="D143" s="52" t="s">
        <v>36</v>
      </c>
      <c r="E143" s="52"/>
      <c r="F143" s="185">
        <f>F141+F142</f>
        <v>15.75</v>
      </c>
      <c r="H143" s="34" t="s">
        <v>37</v>
      </c>
      <c r="M143" s="55"/>
    </row>
    <row r="144" spans="4:5" ht="15">
      <c r="D144" s="52"/>
      <c r="E144" s="52"/>
    </row>
    <row r="145" spans="3:13" ht="15.75">
      <c r="C145" s="53" t="s">
        <v>45</v>
      </c>
      <c r="D145" s="58" t="s">
        <v>36</v>
      </c>
      <c r="E145" s="58"/>
      <c r="F145" s="182">
        <f>F138+F143</f>
        <v>22.38</v>
      </c>
      <c r="G145" s="53"/>
      <c r="H145" s="53" t="s">
        <v>37</v>
      </c>
      <c r="I145" s="53"/>
      <c r="J145" s="53"/>
      <c r="K145" s="53"/>
      <c r="L145" s="53"/>
      <c r="M145" s="55"/>
    </row>
    <row r="146" spans="4:5" ht="15">
      <c r="D146" s="52"/>
      <c r="E146" s="52"/>
    </row>
    <row r="147" spans="3:5" ht="15.75">
      <c r="C147" s="53" t="s">
        <v>139</v>
      </c>
      <c r="D147" s="52"/>
      <c r="E147" s="52"/>
    </row>
    <row r="148" spans="4:13" ht="15">
      <c r="D148" s="52"/>
      <c r="E148" s="52"/>
      <c r="F148" s="73">
        <f>Input!D127</f>
        <v>96250</v>
      </c>
      <c r="H148" s="34" t="s">
        <v>151</v>
      </c>
      <c r="M148" s="55"/>
    </row>
    <row r="149" spans="4:13" ht="15">
      <c r="D149" s="52" t="s">
        <v>35</v>
      </c>
      <c r="E149" s="52"/>
      <c r="F149" s="185">
        <f>Input!D90</f>
        <v>0.5</v>
      </c>
      <c r="H149" s="34" t="s">
        <v>148</v>
      </c>
      <c r="M149" s="55"/>
    </row>
    <row r="150" spans="4:13" ht="15">
      <c r="D150" s="52" t="s">
        <v>42</v>
      </c>
      <c r="E150" s="52"/>
      <c r="F150" s="137">
        <v>100</v>
      </c>
      <c r="H150" s="51" t="s">
        <v>109</v>
      </c>
      <c r="I150" s="51"/>
      <c r="J150" s="51"/>
      <c r="K150" s="51"/>
      <c r="L150" s="51"/>
      <c r="M150" s="55"/>
    </row>
    <row r="151" spans="4:13" ht="15">
      <c r="D151" s="69" t="s">
        <v>42</v>
      </c>
      <c r="E151" s="56"/>
      <c r="F151" s="186">
        <f>Input!D13</f>
        <v>100</v>
      </c>
      <c r="G151" s="57"/>
      <c r="H151" s="57" t="s">
        <v>219</v>
      </c>
      <c r="I151" s="57"/>
      <c r="J151" s="57"/>
      <c r="K151" s="57"/>
      <c r="L151" s="57"/>
      <c r="M151" s="55"/>
    </row>
    <row r="152" spans="4:13" ht="15">
      <c r="D152" s="52" t="s">
        <v>36</v>
      </c>
      <c r="E152" s="52"/>
      <c r="F152" s="185">
        <f>ROUND(F148*F149/F150/F151,2)</f>
        <v>4.81</v>
      </c>
      <c r="H152" s="34" t="s">
        <v>37</v>
      </c>
      <c r="M152" s="55"/>
    </row>
    <row r="153" spans="4:5" ht="15">
      <c r="D153" s="52"/>
      <c r="E153" s="52"/>
    </row>
    <row r="154" spans="4:13" ht="15">
      <c r="D154" s="52"/>
      <c r="E154" s="52"/>
      <c r="F154" s="36">
        <f>Summary!F16</f>
        <v>206.25</v>
      </c>
      <c r="H154" s="34" t="s">
        <v>243</v>
      </c>
      <c r="M154" s="55"/>
    </row>
    <row r="155" spans="4:13" ht="15">
      <c r="D155" s="52" t="s">
        <v>48</v>
      </c>
      <c r="E155" s="52"/>
      <c r="F155" s="36">
        <f>Summary!F13/2</f>
        <v>101.98499999999999</v>
      </c>
      <c r="H155" s="34" t="s">
        <v>260</v>
      </c>
      <c r="M155" s="55"/>
    </row>
    <row r="156" spans="4:13" ht="15">
      <c r="D156" s="52" t="s">
        <v>48</v>
      </c>
      <c r="E156" s="52"/>
      <c r="F156" s="36">
        <f>(Summary!F17+Summary!F18+Summary!F19+Summary!F20+Summary!F23+Summary!F24)/2</f>
        <v>15.305</v>
      </c>
      <c r="H156" s="34" t="s">
        <v>261</v>
      </c>
      <c r="M156" s="55"/>
    </row>
    <row r="157" spans="4:13" ht="15">
      <c r="D157" s="52" t="s">
        <v>36</v>
      </c>
      <c r="E157" s="52"/>
      <c r="F157" s="187">
        <f>SUM(F154:F156)</f>
        <v>323.54</v>
      </c>
      <c r="H157" s="34" t="s">
        <v>244</v>
      </c>
      <c r="M157" s="55"/>
    </row>
    <row r="158" spans="4:13" ht="15">
      <c r="D158" s="52" t="s">
        <v>35</v>
      </c>
      <c r="E158" s="52"/>
      <c r="F158" s="185">
        <f>Input!D89</f>
        <v>0.4</v>
      </c>
      <c r="H158" s="34" t="s">
        <v>148</v>
      </c>
      <c r="M158" s="55"/>
    </row>
    <row r="159" spans="4:13" ht="15">
      <c r="D159" s="76" t="s">
        <v>42</v>
      </c>
      <c r="E159" s="76"/>
      <c r="F159" s="186">
        <v>100</v>
      </c>
      <c r="G159" s="68"/>
      <c r="H159" s="103" t="s">
        <v>109</v>
      </c>
      <c r="I159" s="51"/>
      <c r="J159" s="51"/>
      <c r="K159" s="51"/>
      <c r="L159" s="51"/>
      <c r="M159" s="55"/>
    </row>
    <row r="160" spans="4:13" ht="15">
      <c r="D160" s="52" t="s">
        <v>36</v>
      </c>
      <c r="E160" s="52"/>
      <c r="F160" s="185">
        <f>ROUND(F157*F158/F159,2)</f>
        <v>1.29</v>
      </c>
      <c r="H160" s="34" t="s">
        <v>37</v>
      </c>
      <c r="M160" s="55"/>
    </row>
    <row r="161" spans="4:5" ht="15">
      <c r="D161" s="52"/>
      <c r="E161" s="52"/>
    </row>
    <row r="162" spans="4:13" ht="15">
      <c r="D162" s="52"/>
      <c r="E162" s="52"/>
      <c r="F162" s="185">
        <f>Input!D91</f>
        <v>48</v>
      </c>
      <c r="H162" s="34" t="s">
        <v>149</v>
      </c>
      <c r="M162" s="55"/>
    </row>
    <row r="163" spans="4:13" ht="15">
      <c r="D163" s="69" t="s">
        <v>42</v>
      </c>
      <c r="E163" s="56"/>
      <c r="F163" s="186">
        <f>Input!D13</f>
        <v>100</v>
      </c>
      <c r="G163" s="57"/>
      <c r="H163" s="57" t="s">
        <v>219</v>
      </c>
      <c r="I163" s="57"/>
      <c r="J163" s="57"/>
      <c r="K163" s="57"/>
      <c r="L163" s="57"/>
      <c r="M163" s="55"/>
    </row>
    <row r="164" spans="4:13" ht="15">
      <c r="D164" s="52" t="s">
        <v>36</v>
      </c>
      <c r="E164" s="52"/>
      <c r="F164" s="185">
        <f>F162/F163</f>
        <v>0.48</v>
      </c>
      <c r="H164" s="34" t="s">
        <v>37</v>
      </c>
      <c r="M164" s="55"/>
    </row>
    <row r="165" spans="4:5" ht="15">
      <c r="D165" s="52"/>
      <c r="E165" s="52"/>
    </row>
    <row r="166" spans="3:13" ht="15.75">
      <c r="C166" s="53" t="s">
        <v>45</v>
      </c>
      <c r="D166" s="58" t="s">
        <v>36</v>
      </c>
      <c r="E166" s="58"/>
      <c r="F166" s="182">
        <f>F152+F160+F164</f>
        <v>6.58</v>
      </c>
      <c r="G166" s="53"/>
      <c r="H166" s="53" t="s">
        <v>37</v>
      </c>
      <c r="I166" s="53"/>
      <c r="J166" s="53"/>
      <c r="K166" s="53"/>
      <c r="L166" s="53"/>
      <c r="M166" s="55"/>
    </row>
    <row r="167" spans="4:5" ht="15">
      <c r="D167" s="52"/>
      <c r="E167" s="52"/>
    </row>
    <row r="168" spans="3:5" ht="15.75">
      <c r="C168" s="53" t="s">
        <v>140</v>
      </c>
      <c r="D168" s="52"/>
      <c r="E168" s="52"/>
    </row>
    <row r="169" spans="4:13" ht="15">
      <c r="D169" s="52"/>
      <c r="E169" s="52"/>
      <c r="F169" s="188">
        <f>Input!D85</f>
        <v>500</v>
      </c>
      <c r="H169" s="34" t="s">
        <v>54</v>
      </c>
      <c r="M169" s="55"/>
    </row>
    <row r="170" spans="4:13" ht="15">
      <c r="D170" s="69" t="s">
        <v>42</v>
      </c>
      <c r="E170" s="56"/>
      <c r="F170" s="186">
        <f>Input!D13</f>
        <v>100</v>
      </c>
      <c r="G170" s="57"/>
      <c r="H170" s="57" t="s">
        <v>219</v>
      </c>
      <c r="I170" s="57"/>
      <c r="J170" s="57"/>
      <c r="K170" s="57"/>
      <c r="L170" s="57"/>
      <c r="M170" s="55"/>
    </row>
    <row r="171" spans="4:13" ht="15.75">
      <c r="D171" s="58" t="s">
        <v>36</v>
      </c>
      <c r="E171" s="58"/>
      <c r="F171" s="182">
        <f>ROUND(F169/F170,2)</f>
        <v>5</v>
      </c>
      <c r="G171" s="53"/>
      <c r="H171" s="53" t="s">
        <v>49</v>
      </c>
      <c r="I171" s="53"/>
      <c r="J171" s="53"/>
      <c r="K171" s="53"/>
      <c r="L171" s="53"/>
      <c r="M171" s="55"/>
    </row>
    <row r="172" spans="4:5" ht="15">
      <c r="D172" s="52"/>
      <c r="E172" s="52"/>
    </row>
    <row r="173" spans="3:5" ht="15.75">
      <c r="C173" s="53" t="s">
        <v>141</v>
      </c>
      <c r="D173" s="52"/>
      <c r="E173" s="52"/>
    </row>
    <row r="174" spans="4:13" ht="15">
      <c r="D174" s="52"/>
      <c r="E174" s="52"/>
      <c r="F174" s="188">
        <f>Input!D94</f>
        <v>200</v>
      </c>
      <c r="H174" s="34" t="s">
        <v>55</v>
      </c>
      <c r="M174" s="55"/>
    </row>
    <row r="175" spans="4:13" ht="15">
      <c r="D175" s="69" t="s">
        <v>42</v>
      </c>
      <c r="E175" s="56"/>
      <c r="F175" s="186">
        <f>Input!D13</f>
        <v>100</v>
      </c>
      <c r="G175" s="57"/>
      <c r="H175" s="57" t="s">
        <v>219</v>
      </c>
      <c r="I175" s="57"/>
      <c r="J175" s="57"/>
      <c r="K175" s="57"/>
      <c r="L175" s="57"/>
      <c r="M175" s="55"/>
    </row>
    <row r="176" spans="4:13" ht="15.75">
      <c r="D176" s="58" t="s">
        <v>36</v>
      </c>
      <c r="E176" s="58"/>
      <c r="F176" s="182">
        <f>ROUND(F174/F175,2)</f>
        <v>2</v>
      </c>
      <c r="G176" s="53"/>
      <c r="H176" s="53" t="s">
        <v>37</v>
      </c>
      <c r="I176" s="53"/>
      <c r="J176" s="53"/>
      <c r="K176" s="53"/>
      <c r="L176" s="53"/>
      <c r="M176" s="55"/>
    </row>
    <row r="177" spans="4:5" ht="15">
      <c r="D177" s="52"/>
      <c r="E177" s="52"/>
    </row>
    <row r="178" spans="3:5" ht="15.75">
      <c r="C178" s="53" t="s">
        <v>142</v>
      </c>
      <c r="D178" s="52"/>
      <c r="E178" s="52"/>
    </row>
    <row r="179" spans="3:13" ht="15.75">
      <c r="C179" s="53"/>
      <c r="D179" s="52"/>
      <c r="E179" s="52"/>
      <c r="F179" s="185">
        <f>SUM(Summary!F13:F24)-Summary!F21</f>
        <v>447.40999999999997</v>
      </c>
      <c r="H179" s="34" t="s">
        <v>259</v>
      </c>
      <c r="M179" s="55"/>
    </row>
    <row r="180" spans="3:13" ht="15.75">
      <c r="C180" s="53"/>
      <c r="D180" s="52" t="s">
        <v>35</v>
      </c>
      <c r="E180" s="52"/>
      <c r="F180" s="96">
        <f>Input!D19</f>
        <v>10</v>
      </c>
      <c r="H180" s="34" t="s">
        <v>253</v>
      </c>
      <c r="M180" s="55"/>
    </row>
    <row r="181" spans="3:13" ht="15.75">
      <c r="C181" s="53"/>
      <c r="D181" s="52" t="s">
        <v>35</v>
      </c>
      <c r="E181" s="52"/>
      <c r="F181" s="92">
        <f>Input!D27</f>
        <v>46</v>
      </c>
      <c r="H181" s="34" t="s">
        <v>46</v>
      </c>
      <c r="M181" s="55"/>
    </row>
    <row r="182" spans="3:13" ht="15.75">
      <c r="C182" s="53"/>
      <c r="D182" s="69" t="s">
        <v>42</v>
      </c>
      <c r="E182" s="76"/>
      <c r="F182" s="189">
        <f>Input!D27+Input!D28</f>
        <v>246</v>
      </c>
      <c r="G182" s="68"/>
      <c r="H182" s="68" t="s">
        <v>255</v>
      </c>
      <c r="M182" s="55"/>
    </row>
    <row r="183" spans="3:13" ht="15.75">
      <c r="C183" s="53"/>
      <c r="D183" s="58" t="s">
        <v>36</v>
      </c>
      <c r="E183" s="52"/>
      <c r="F183" s="104">
        <f>F179*(F180/100)*(F181/F182)</f>
        <v>8.36620325203252</v>
      </c>
      <c r="H183" s="53" t="s">
        <v>256</v>
      </c>
      <c r="M183" s="55"/>
    </row>
    <row r="184" spans="3:5" ht="15.75">
      <c r="C184" s="53"/>
      <c r="D184" s="52"/>
      <c r="E184" s="52"/>
    </row>
    <row r="185" spans="3:13" ht="15.75">
      <c r="C185" s="53"/>
      <c r="D185" s="52"/>
      <c r="E185" s="52"/>
      <c r="F185" s="104">
        <f>SUM(Summary!F13:F24)-Summary!F21</f>
        <v>447.40999999999997</v>
      </c>
      <c r="H185" s="34" t="s">
        <v>259</v>
      </c>
      <c r="M185" s="55"/>
    </row>
    <row r="186" spans="3:13" ht="15.75">
      <c r="C186" s="53"/>
      <c r="D186" s="52" t="s">
        <v>35</v>
      </c>
      <c r="E186" s="52"/>
      <c r="F186" s="96">
        <f>Input!D23</f>
        <v>2</v>
      </c>
      <c r="H186" s="34" t="s">
        <v>254</v>
      </c>
      <c r="M186" s="55"/>
    </row>
    <row r="187" spans="4:13" ht="15">
      <c r="D187" s="52" t="s">
        <v>35</v>
      </c>
      <c r="E187" s="52"/>
      <c r="F187" s="92">
        <f>Input!D28</f>
        <v>200</v>
      </c>
      <c r="H187" s="34" t="s">
        <v>46</v>
      </c>
      <c r="M187" s="55"/>
    </row>
    <row r="188" spans="4:13" ht="15">
      <c r="D188" s="69" t="s">
        <v>42</v>
      </c>
      <c r="E188" s="52"/>
      <c r="F188" s="105">
        <f>Input!D27+Input!D28</f>
        <v>246</v>
      </c>
      <c r="H188" s="68" t="s">
        <v>255</v>
      </c>
      <c r="M188" s="55"/>
    </row>
    <row r="189" spans="4:13" ht="15.75">
      <c r="D189" s="58" t="s">
        <v>36</v>
      </c>
      <c r="E189" s="56"/>
      <c r="F189" s="104">
        <f>F185*(F186/100)*(F187/F188)</f>
        <v>7.274959349593495</v>
      </c>
      <c r="H189" s="53" t="s">
        <v>280</v>
      </c>
      <c r="M189" s="60"/>
    </row>
    <row r="190" spans="4:13" ht="15">
      <c r="D190" s="69"/>
      <c r="E190" s="69"/>
      <c r="F190" s="190"/>
      <c r="G190" s="57"/>
      <c r="H190" s="57"/>
      <c r="I190" s="57"/>
      <c r="J190" s="57"/>
      <c r="K190" s="57"/>
      <c r="L190" s="57"/>
      <c r="M190" s="52"/>
    </row>
    <row r="191" spans="4:13" ht="15.75">
      <c r="D191" s="58" t="s">
        <v>36</v>
      </c>
      <c r="E191" s="58"/>
      <c r="F191" s="182">
        <f>F183+F189</f>
        <v>15.641162601626014</v>
      </c>
      <c r="G191" s="53"/>
      <c r="H191" s="53" t="s">
        <v>37</v>
      </c>
      <c r="I191" s="53"/>
      <c r="J191" s="53"/>
      <c r="K191" s="53"/>
      <c r="L191" s="53"/>
      <c r="M191" s="55"/>
    </row>
    <row r="192" spans="4:5" ht="15">
      <c r="D192" s="52"/>
      <c r="E192" s="52"/>
    </row>
    <row r="193" spans="3:5" ht="15.75">
      <c r="C193" s="53" t="s">
        <v>143</v>
      </c>
      <c r="D193" s="52"/>
      <c r="E193" s="52"/>
    </row>
    <row r="194" spans="3:5" ht="15">
      <c r="C194" s="34" t="s">
        <v>144</v>
      </c>
      <c r="D194" s="52"/>
      <c r="E194" s="52"/>
    </row>
    <row r="195" spans="4:13" ht="15">
      <c r="D195" s="52"/>
      <c r="E195" s="52"/>
      <c r="F195" s="185">
        <f>F98</f>
        <v>206.25</v>
      </c>
      <c r="H195" s="34" t="s">
        <v>56</v>
      </c>
      <c r="M195" s="55"/>
    </row>
    <row r="196" spans="4:13" ht="15">
      <c r="D196" s="52" t="s">
        <v>48</v>
      </c>
      <c r="E196" s="52"/>
      <c r="F196" s="185">
        <f>(Summary!F13+SUM(Summary!F17:F25))/2</f>
        <v>139.59058130081297</v>
      </c>
      <c r="H196" s="34" t="s">
        <v>57</v>
      </c>
      <c r="M196" s="55"/>
    </row>
    <row r="197" spans="4:13" ht="15">
      <c r="D197" s="52" t="s">
        <v>35</v>
      </c>
      <c r="E197" s="52"/>
      <c r="F197" s="191">
        <f>Input!D96</f>
        <v>6</v>
      </c>
      <c r="H197" s="34" t="s">
        <v>167</v>
      </c>
      <c r="M197" s="55"/>
    </row>
    <row r="198" spans="4:13" ht="15">
      <c r="D198" s="52" t="s">
        <v>35</v>
      </c>
      <c r="E198" s="52"/>
      <c r="F198" s="137">
        <f>Input!D28+Input!D27</f>
        <v>246</v>
      </c>
      <c r="H198" s="34" t="s">
        <v>46</v>
      </c>
      <c r="M198" s="55"/>
    </row>
    <row r="199" spans="4:13" ht="15">
      <c r="D199" s="69" t="s">
        <v>42</v>
      </c>
      <c r="E199" s="56"/>
      <c r="F199" s="186">
        <v>365</v>
      </c>
      <c r="G199" s="57"/>
      <c r="H199" s="57" t="s">
        <v>110</v>
      </c>
      <c r="I199" s="57"/>
      <c r="J199" s="57"/>
      <c r="K199" s="57"/>
      <c r="L199" s="57"/>
      <c r="M199" s="55"/>
    </row>
    <row r="200" spans="4:13" ht="15.75">
      <c r="D200" s="58" t="s">
        <v>36</v>
      </c>
      <c r="E200" s="58"/>
      <c r="F200" s="182">
        <f>ROUND((F195+F196)*(F197),2)*F198/365/100</f>
        <v>13.98520109589041</v>
      </c>
      <c r="G200" s="53"/>
      <c r="H200" s="53" t="s">
        <v>37</v>
      </c>
      <c r="I200" s="53"/>
      <c r="J200" s="53"/>
      <c r="K200" s="53"/>
      <c r="L200" s="53"/>
      <c r="M200" s="55"/>
    </row>
    <row r="201" spans="2:13" ht="18">
      <c r="B201" s="203" t="s">
        <v>118</v>
      </c>
      <c r="C201" s="204"/>
      <c r="D201" s="204"/>
      <c r="E201" s="204"/>
      <c r="F201" s="204"/>
      <c r="G201" s="204"/>
      <c r="H201" s="204"/>
      <c r="I201" s="204"/>
      <c r="J201" s="204"/>
      <c r="K201" s="204"/>
      <c r="L201" s="204"/>
      <c r="M201" s="204"/>
    </row>
    <row r="203" spans="2:13" ht="18">
      <c r="B203" s="117"/>
      <c r="C203" s="149" t="s">
        <v>300</v>
      </c>
      <c r="D203" s="207"/>
      <c r="E203" s="207"/>
      <c r="F203" s="207"/>
      <c r="G203" s="207"/>
      <c r="H203" s="207"/>
      <c r="I203" s="207"/>
      <c r="J203" s="207"/>
      <c r="K203" s="207"/>
      <c r="L203" s="207"/>
      <c r="M203" s="207"/>
    </row>
    <row r="204" spans="2:13" ht="18">
      <c r="B204" s="117"/>
      <c r="C204" s="207"/>
      <c r="D204" s="207"/>
      <c r="E204" s="207"/>
      <c r="F204" s="207"/>
      <c r="G204" s="207"/>
      <c r="H204" s="207"/>
      <c r="I204" s="207"/>
      <c r="J204" s="207"/>
      <c r="K204" s="207"/>
      <c r="L204" s="207"/>
      <c r="M204" s="207"/>
    </row>
    <row r="205" spans="2:13" ht="18">
      <c r="B205" s="117"/>
      <c r="C205" s="207"/>
      <c r="D205" s="207"/>
      <c r="E205" s="207"/>
      <c r="F205" s="207"/>
      <c r="G205" s="207"/>
      <c r="H205" s="207"/>
      <c r="I205" s="207"/>
      <c r="J205" s="207"/>
      <c r="K205" s="207"/>
      <c r="L205" s="207"/>
      <c r="M205" s="207"/>
    </row>
    <row r="206" spans="2:13" ht="18">
      <c r="B206" s="117"/>
      <c r="C206" s="18" t="s">
        <v>279</v>
      </c>
      <c r="D206" s="52"/>
      <c r="E206" s="52"/>
      <c r="L206" s="128"/>
      <c r="M206" s="128"/>
    </row>
    <row r="207" spans="2:13" ht="18">
      <c r="B207" s="117"/>
      <c r="C207" s="34" t="str">
        <f>Input!A103</f>
        <v>Land, 10 acres at $500/acre</v>
      </c>
      <c r="D207" s="52"/>
      <c r="E207" s="52"/>
      <c r="K207" s="62">
        <f>Input!D103</f>
        <v>5000</v>
      </c>
      <c r="L207" s="128"/>
      <c r="M207" s="128"/>
    </row>
    <row r="208" spans="2:13" ht="18">
      <c r="B208" s="117"/>
      <c r="C208" s="128"/>
      <c r="D208" s="128"/>
      <c r="E208" s="128"/>
      <c r="F208" s="128"/>
      <c r="G208" s="128"/>
      <c r="H208" s="128"/>
      <c r="I208" s="128"/>
      <c r="J208" s="128"/>
      <c r="K208" s="128"/>
      <c r="L208" s="128"/>
      <c r="M208" s="128"/>
    </row>
    <row r="209" spans="3:5" ht="15.75">
      <c r="C209" s="18" t="s">
        <v>278</v>
      </c>
      <c r="D209" s="52"/>
      <c r="E209" s="52"/>
    </row>
    <row r="210" spans="3:13" ht="15">
      <c r="C210" s="34" t="str">
        <f>Input!A106</f>
        <v>Calf hutches, 25 @ $335</v>
      </c>
      <c r="K210" s="73">
        <f>Input!D106</f>
        <v>8375</v>
      </c>
      <c r="L210" s="73"/>
      <c r="M210" s="55"/>
    </row>
    <row r="211" spans="3:13" ht="15">
      <c r="C211" s="34" t="str">
        <f>Input!A107</f>
        <v>Facility, 42'x64' @ $6.00 /sq ft</v>
      </c>
      <c r="K211" s="73">
        <f>Input!D107</f>
        <v>16125</v>
      </c>
      <c r="L211" s="73"/>
      <c r="M211" s="55"/>
    </row>
    <row r="212" spans="3:13" ht="15">
      <c r="C212" s="34" t="str">
        <f>Input!A108</f>
        <v>Concrete area, 1408 sq ft @ $3.55 /sq ft</v>
      </c>
      <c r="K212" s="73">
        <f>Input!D108</f>
        <v>5000</v>
      </c>
      <c r="L212" s="73"/>
      <c r="M212" s="55"/>
    </row>
    <row r="213" spans="3:13" ht="15">
      <c r="C213" s="34" t="str">
        <f>Input!A109</f>
        <v>Site prep, liquid manure collection pit, gravel/shale</v>
      </c>
      <c r="K213" s="73">
        <f>Input!D109</f>
        <v>5500</v>
      </c>
      <c r="L213" s="73"/>
      <c r="M213" s="55"/>
    </row>
    <row r="214" spans="3:13" ht="15">
      <c r="C214" s="34" t="str">
        <f>Input!A110</f>
        <v>Lower wall protective planking with 1/8" puckboard</v>
      </c>
      <c r="K214" s="73">
        <f>Input!D110</f>
        <v>1125</v>
      </c>
      <c r="L214" s="73"/>
      <c r="M214" s="55"/>
    </row>
    <row r="215" spans="3:13" ht="15">
      <c r="C215" s="34" t="str">
        <f>Input!A111</f>
        <v>Waterers, 2 @ $300 + installation</v>
      </c>
      <c r="K215" s="73">
        <f>Input!D111</f>
        <v>600</v>
      </c>
      <c r="L215" s="73"/>
      <c r="M215" s="55"/>
    </row>
    <row r="216" spans="3:13" ht="15">
      <c r="C216" s="34" t="str">
        <f>Input!A112</f>
        <v>Electrical</v>
      </c>
      <c r="K216" s="73">
        <f>Input!D112</f>
        <v>1500</v>
      </c>
      <c r="L216" s="73"/>
      <c r="M216" s="55"/>
    </row>
    <row r="217" spans="3:13" ht="15">
      <c r="C217" s="34" t="str">
        <f>Input!A113</f>
        <v>Loading /chute (self-made)</v>
      </c>
      <c r="K217" s="73">
        <f>Input!D113</f>
        <v>3500</v>
      </c>
      <c r="L217" s="73"/>
      <c r="M217" s="55"/>
    </row>
    <row r="218" spans="3:13" ht="15">
      <c r="C218" s="34" t="str">
        <f>Input!A114</f>
        <v>Posts, 50 4"-5" PT spruce @ $6, wire etc. installed</v>
      </c>
      <c r="K218" s="73">
        <f>Input!D114</f>
        <v>500</v>
      </c>
      <c r="L218" s="73"/>
      <c r="M218" s="55"/>
    </row>
    <row r="219" spans="3:13" ht="15">
      <c r="C219" s="34" t="str">
        <f>Input!A115</f>
        <v>Metal panel gates, 114' @ $6.50 </v>
      </c>
      <c r="K219" s="73">
        <f>Input!D115</f>
        <v>750</v>
      </c>
      <c r="L219" s="73"/>
      <c r="M219" s="55"/>
    </row>
    <row r="220" spans="3:13" ht="15">
      <c r="C220" s="34" t="str">
        <f>Input!A116</f>
        <v>Feed bunk, 64'x3' @ $3.50/ft</v>
      </c>
      <c r="K220" s="118">
        <f>Input!D116</f>
        <v>675</v>
      </c>
      <c r="L220" s="74"/>
      <c r="M220" s="60"/>
    </row>
    <row r="221" spans="3:13" ht="15">
      <c r="C221" s="34" t="str">
        <f>Input!A117</f>
        <v>Water line, from yard source</v>
      </c>
      <c r="K221" s="118">
        <f>Input!D117</f>
        <v>1500</v>
      </c>
      <c r="L221" s="74"/>
      <c r="M221" s="60"/>
    </row>
    <row r="222" spans="3:13" ht="15">
      <c r="C222" s="34" t="str">
        <f>Input!A118</f>
        <v>Double layer vent. curtain </v>
      </c>
      <c r="K222" s="74">
        <f>Input!D118</f>
        <v>6100</v>
      </c>
      <c r="L222" s="74"/>
      <c r="M222" s="60"/>
    </row>
    <row r="223" spans="3:13" ht="15.75">
      <c r="C223" s="18" t="str">
        <f>Input!A119</f>
        <v>Total</v>
      </c>
      <c r="D223" s="18"/>
      <c r="E223" s="18"/>
      <c r="F223" s="18"/>
      <c r="G223" s="18"/>
      <c r="K223" s="89">
        <f>Input!D119</f>
        <v>51250</v>
      </c>
      <c r="L223" s="89"/>
      <c r="M223" s="60"/>
    </row>
    <row r="224" spans="8:13" ht="15">
      <c r="H224" s="73"/>
      <c r="I224" s="73"/>
      <c r="J224" s="73"/>
      <c r="K224" s="32"/>
      <c r="L224" s="32"/>
      <c r="M224" s="52"/>
    </row>
    <row r="225" spans="3:12" ht="15.75">
      <c r="C225" s="18" t="str">
        <f>Input!A121</f>
        <v>  Machinery &amp; Equipment</v>
      </c>
      <c r="H225" s="73">
        <f>Input!D121</f>
      </c>
      <c r="I225" s="73"/>
      <c r="J225" s="73"/>
      <c r="K225" s="62"/>
      <c r="L225" s="62"/>
    </row>
    <row r="226" spans="3:13" ht="15">
      <c r="C226" s="34" t="str">
        <f>Input!A122</f>
        <v>Tractor &amp; Loader (steer portion)</v>
      </c>
      <c r="K226" s="87">
        <f>Input!D122</f>
        <v>20000</v>
      </c>
      <c r="L226" s="87"/>
      <c r="M226" s="55"/>
    </row>
    <row r="227" spans="3:13" ht="15">
      <c r="C227" s="34" t="str">
        <f>Input!A123</f>
        <v>Feed Storage &amp; Handling</v>
      </c>
      <c r="K227" s="87">
        <f>Input!D123</f>
        <v>10000</v>
      </c>
      <c r="L227" s="87"/>
      <c r="M227" s="55"/>
    </row>
    <row r="228" spans="3:13" ht="15">
      <c r="C228" s="34" t="str">
        <f>Input!A124</f>
        <v>Truck, Office Equipment &amp; Miscellaneous</v>
      </c>
      <c r="D228" s="52"/>
      <c r="E228" s="52"/>
      <c r="K228" s="88">
        <f>Input!D124</f>
        <v>10000</v>
      </c>
      <c r="L228" s="88"/>
      <c r="M228" s="55"/>
    </row>
    <row r="229" spans="3:13" ht="15.75">
      <c r="C229" s="18" t="str">
        <f>Input!A125</f>
        <v>Total</v>
      </c>
      <c r="D229" s="52"/>
      <c r="E229" s="52"/>
      <c r="K229" s="62">
        <f>Input!D125</f>
        <v>40000</v>
      </c>
      <c r="L229" s="62"/>
      <c r="M229" s="55"/>
    </row>
    <row r="230" spans="3:13" ht="15.75">
      <c r="C230" s="18"/>
      <c r="D230" s="52"/>
      <c r="E230" s="52"/>
      <c r="K230" s="62"/>
      <c r="L230" s="62"/>
      <c r="M230" s="52"/>
    </row>
    <row r="231" spans="3:13" ht="15.75">
      <c r="C231" s="18" t="str">
        <f>Input!A127</f>
        <v>  Total Investment</v>
      </c>
      <c r="D231" s="52"/>
      <c r="E231" s="52"/>
      <c r="K231" s="62">
        <f>Input!D127</f>
        <v>96250</v>
      </c>
      <c r="L231" s="62"/>
      <c r="M231" s="55"/>
    </row>
    <row r="232" spans="4:5" ht="15">
      <c r="D232" s="52"/>
      <c r="E232" s="52"/>
    </row>
    <row r="233" spans="2:5" ht="15.75">
      <c r="B233" s="53" t="s">
        <v>61</v>
      </c>
      <c r="D233" s="52"/>
      <c r="E233" s="52"/>
    </row>
    <row r="234" spans="2:12" ht="15.75">
      <c r="B234" s="53" t="s">
        <v>28</v>
      </c>
      <c r="D234" s="52"/>
      <c r="E234" s="52"/>
      <c r="F234" s="107"/>
      <c r="G234" s="108" t="s">
        <v>111</v>
      </c>
      <c r="H234" s="108"/>
      <c r="I234" s="108"/>
      <c r="J234" s="24"/>
      <c r="K234" s="24"/>
      <c r="L234" s="24"/>
    </row>
    <row r="235" spans="2:12" ht="15.75">
      <c r="B235" s="53"/>
      <c r="D235" s="52"/>
      <c r="E235" s="52"/>
      <c r="F235" s="107"/>
      <c r="G235" s="109" t="s">
        <v>112</v>
      </c>
      <c r="H235" s="109"/>
      <c r="I235" s="109"/>
      <c r="J235" s="21"/>
      <c r="K235" s="21"/>
      <c r="L235" s="21"/>
    </row>
    <row r="236" spans="3:5" ht="15.75">
      <c r="C236" s="53" t="s">
        <v>145</v>
      </c>
      <c r="D236" s="52"/>
      <c r="E236" s="52"/>
    </row>
    <row r="237" spans="4:13" ht="15">
      <c r="D237" s="52"/>
      <c r="E237" s="52"/>
      <c r="F237" s="73">
        <f>Input!D119</f>
        <v>51250</v>
      </c>
      <c r="H237" s="34" t="s">
        <v>113</v>
      </c>
      <c r="M237" s="55"/>
    </row>
    <row r="238" spans="4:13" ht="15">
      <c r="D238" s="52" t="s">
        <v>6</v>
      </c>
      <c r="E238" s="52"/>
      <c r="F238" s="73">
        <f>ROUND(Input!D119*(Input!E119/100),2)</f>
        <v>5125</v>
      </c>
      <c r="H238" s="34" t="s">
        <v>245</v>
      </c>
      <c r="M238" s="55"/>
    </row>
    <row r="239" spans="4:13" ht="15">
      <c r="D239" s="52" t="s">
        <v>42</v>
      </c>
      <c r="E239" s="52"/>
      <c r="F239" s="137">
        <f>Input!G119</f>
        <v>20</v>
      </c>
      <c r="H239" s="34" t="s">
        <v>58</v>
      </c>
      <c r="M239" s="55"/>
    </row>
    <row r="240" spans="4:13" ht="15">
      <c r="D240" s="69" t="s">
        <v>42</v>
      </c>
      <c r="E240" s="56"/>
      <c r="F240" s="186">
        <f>Input!D13</f>
        <v>100</v>
      </c>
      <c r="G240" s="57"/>
      <c r="H240" s="57" t="s">
        <v>219</v>
      </c>
      <c r="I240" s="57"/>
      <c r="J240" s="57"/>
      <c r="K240" s="57"/>
      <c r="L240" s="57"/>
      <c r="M240" s="55"/>
    </row>
    <row r="241" spans="4:13" ht="15.75">
      <c r="D241" s="58" t="s">
        <v>36</v>
      </c>
      <c r="E241" s="58"/>
      <c r="F241" s="182">
        <f>ROUND((F237-F238)/F239/F240,2)</f>
        <v>23.06</v>
      </c>
      <c r="G241" s="53"/>
      <c r="H241" s="53" t="s">
        <v>37</v>
      </c>
      <c r="I241" s="53"/>
      <c r="J241" s="53"/>
      <c r="K241" s="53"/>
      <c r="L241" s="53"/>
      <c r="M241" s="55"/>
    </row>
    <row r="242" spans="4:5" ht="15">
      <c r="D242" s="52"/>
      <c r="E242" s="52"/>
    </row>
    <row r="243" spans="3:5" ht="15.75">
      <c r="C243" s="53" t="s">
        <v>146</v>
      </c>
      <c r="D243" s="52"/>
      <c r="E243" s="52"/>
    </row>
    <row r="244" spans="4:13" ht="15">
      <c r="D244" s="52"/>
      <c r="E244" s="52"/>
      <c r="F244" s="73">
        <f>Input!D125</f>
        <v>40000</v>
      </c>
      <c r="H244" s="34" t="s">
        <v>113</v>
      </c>
      <c r="M244" s="55"/>
    </row>
    <row r="245" spans="4:13" ht="15">
      <c r="D245" s="52" t="s">
        <v>6</v>
      </c>
      <c r="E245" s="52"/>
      <c r="F245" s="73">
        <f>ROUND(F244*(Input!E125/100),2)</f>
        <v>4000</v>
      </c>
      <c r="H245" s="34" t="s">
        <v>246</v>
      </c>
      <c r="M245" s="55"/>
    </row>
    <row r="246" spans="4:13" ht="15">
      <c r="D246" s="52" t="s">
        <v>42</v>
      </c>
      <c r="E246" s="52"/>
      <c r="F246" s="137">
        <f>Input!G125</f>
        <v>20</v>
      </c>
      <c r="H246" s="34" t="s">
        <v>58</v>
      </c>
      <c r="M246" s="55"/>
    </row>
    <row r="247" spans="4:13" ht="15">
      <c r="D247" s="69" t="s">
        <v>42</v>
      </c>
      <c r="E247" s="56"/>
      <c r="F247" s="186">
        <f>Input!D13</f>
        <v>100</v>
      </c>
      <c r="G247" s="57"/>
      <c r="H247" s="57" t="s">
        <v>219</v>
      </c>
      <c r="I247" s="57"/>
      <c r="J247" s="57"/>
      <c r="K247" s="57"/>
      <c r="L247" s="57"/>
      <c r="M247" s="55"/>
    </row>
    <row r="248" spans="4:13" ht="15.75">
      <c r="D248" s="58" t="s">
        <v>36</v>
      </c>
      <c r="E248" s="58"/>
      <c r="F248" s="182">
        <f>ROUND((F244-F245)/F246/F247,2)</f>
        <v>18</v>
      </c>
      <c r="G248" s="53"/>
      <c r="H248" s="53" t="s">
        <v>37</v>
      </c>
      <c r="I248" s="53"/>
      <c r="J248" s="53"/>
      <c r="K248" s="53"/>
      <c r="L248" s="53"/>
      <c r="M248" s="55"/>
    </row>
    <row r="249" spans="4:5" ht="15">
      <c r="D249" s="52"/>
      <c r="E249" s="52"/>
    </row>
    <row r="250" spans="2:12" ht="15.75">
      <c r="B250" s="53" t="s">
        <v>31</v>
      </c>
      <c r="D250" s="52"/>
      <c r="E250" s="64" t="s">
        <v>150</v>
      </c>
      <c r="F250" s="110" t="s">
        <v>217</v>
      </c>
      <c r="G250" s="111"/>
      <c r="H250" s="111"/>
      <c r="I250" s="111"/>
      <c r="J250" s="111" t="s">
        <v>218</v>
      </c>
      <c r="K250" s="107"/>
      <c r="L250" s="111"/>
    </row>
    <row r="251" spans="2:13" ht="15.75">
      <c r="B251" s="53"/>
      <c r="D251" s="52"/>
      <c r="E251" s="52"/>
      <c r="F251" s="107"/>
      <c r="G251" s="112">
        <v>2</v>
      </c>
      <c r="H251" s="63"/>
      <c r="I251" s="63"/>
      <c r="J251" s="63"/>
      <c r="K251" s="63"/>
      <c r="L251" s="63"/>
      <c r="M251" s="63"/>
    </row>
    <row r="252" spans="3:5" ht="15.75">
      <c r="C252" s="53" t="s">
        <v>287</v>
      </c>
      <c r="D252" s="52"/>
      <c r="E252" s="52"/>
    </row>
    <row r="253" spans="4:13" ht="15">
      <c r="D253" s="52"/>
      <c r="E253" s="52"/>
      <c r="F253" s="87">
        <f>Input!D103</f>
        <v>5000</v>
      </c>
      <c r="H253" s="34" t="s">
        <v>282</v>
      </c>
      <c r="M253" s="55"/>
    </row>
    <row r="254" spans="4:13" ht="15">
      <c r="D254" s="52" t="s">
        <v>35</v>
      </c>
      <c r="E254" s="52"/>
      <c r="F254" s="96">
        <f>Input!D97</f>
        <v>4</v>
      </c>
      <c r="H254" s="34" t="s">
        <v>168</v>
      </c>
      <c r="M254" s="55"/>
    </row>
    <row r="255" spans="4:13" ht="15">
      <c r="D255" s="69" t="s">
        <v>42</v>
      </c>
      <c r="E255" s="76"/>
      <c r="F255" s="105">
        <f>Input!D13</f>
        <v>100</v>
      </c>
      <c r="G255" s="68"/>
      <c r="H255" s="57" t="s">
        <v>219</v>
      </c>
      <c r="M255" s="55"/>
    </row>
    <row r="256" spans="4:13" ht="15.75">
      <c r="D256" s="58" t="s">
        <v>36</v>
      </c>
      <c r="E256" s="52"/>
      <c r="F256" s="59">
        <f>(F253*(F254/100))/F255</f>
        <v>2</v>
      </c>
      <c r="H256" s="53" t="s">
        <v>37</v>
      </c>
      <c r="M256" s="55"/>
    </row>
    <row r="257" spans="4:13" ht="15">
      <c r="D257" s="52"/>
      <c r="E257" s="52"/>
      <c r="M257" s="55"/>
    </row>
    <row r="258" spans="3:13" ht="15.75">
      <c r="C258" s="53" t="s">
        <v>288</v>
      </c>
      <c r="D258" s="52"/>
      <c r="E258" s="52"/>
      <c r="M258" s="55"/>
    </row>
    <row r="259" spans="4:13" ht="15">
      <c r="D259" s="52" t="s">
        <v>48</v>
      </c>
      <c r="E259" s="52"/>
      <c r="F259" s="73">
        <f>F237</f>
        <v>51250</v>
      </c>
      <c r="H259" s="34" t="s">
        <v>281</v>
      </c>
      <c r="M259" s="55"/>
    </row>
    <row r="260" spans="4:13" ht="15">
      <c r="D260" s="52" t="s">
        <v>48</v>
      </c>
      <c r="E260" s="52"/>
      <c r="F260" s="73">
        <f>F238</f>
        <v>5125</v>
      </c>
      <c r="H260" s="34" t="s">
        <v>245</v>
      </c>
      <c r="M260" s="55"/>
    </row>
    <row r="261" spans="4:13" ht="15">
      <c r="D261" s="52" t="s">
        <v>42</v>
      </c>
      <c r="E261" s="52"/>
      <c r="F261" s="137">
        <v>2</v>
      </c>
      <c r="H261" s="34" t="s">
        <v>59</v>
      </c>
      <c r="M261" s="55"/>
    </row>
    <row r="262" spans="4:13" ht="15">
      <c r="D262" s="52" t="s">
        <v>35</v>
      </c>
      <c r="E262" s="52"/>
      <c r="F262" s="191">
        <f>Input!D97</f>
        <v>4</v>
      </c>
      <c r="G262" s="66"/>
      <c r="H262" s="34" t="s">
        <v>168</v>
      </c>
      <c r="M262" s="55"/>
    </row>
    <row r="263" spans="4:13" ht="15">
      <c r="D263" s="69" t="s">
        <v>42</v>
      </c>
      <c r="E263" s="56"/>
      <c r="F263" s="186">
        <f>Input!D13</f>
        <v>100</v>
      </c>
      <c r="G263" s="57"/>
      <c r="H263" s="57" t="s">
        <v>219</v>
      </c>
      <c r="I263" s="57"/>
      <c r="J263" s="57"/>
      <c r="K263" s="57"/>
      <c r="L263" s="57"/>
      <c r="M263" s="61"/>
    </row>
    <row r="264" spans="4:13" ht="15.75">
      <c r="D264" s="58" t="s">
        <v>36</v>
      </c>
      <c r="E264" s="58"/>
      <c r="F264" s="192">
        <f>(((F259+F260)/F261)*F262/100)/F263</f>
        <v>11.275</v>
      </c>
      <c r="G264" s="53"/>
      <c r="H264" s="53" t="s">
        <v>37</v>
      </c>
      <c r="I264" s="53"/>
      <c r="J264" s="53"/>
      <c r="K264" s="53"/>
      <c r="L264" s="53"/>
      <c r="M264" s="55"/>
    </row>
    <row r="265" spans="4:5" ht="15">
      <c r="D265" s="52"/>
      <c r="E265" s="52"/>
    </row>
    <row r="266" spans="3:5" ht="15.75">
      <c r="C266" s="53" t="s">
        <v>289</v>
      </c>
      <c r="D266" s="52"/>
      <c r="E266" s="52"/>
    </row>
    <row r="267" spans="4:13" ht="15">
      <c r="D267" s="52"/>
      <c r="E267" s="52"/>
      <c r="F267" s="73">
        <f>F244</f>
        <v>40000</v>
      </c>
      <c r="H267" s="34" t="s">
        <v>114</v>
      </c>
      <c r="M267" s="55"/>
    </row>
    <row r="268" spans="4:13" ht="15">
      <c r="D268" s="52" t="s">
        <v>48</v>
      </c>
      <c r="E268" s="52"/>
      <c r="F268" s="73">
        <f>F245</f>
        <v>4000</v>
      </c>
      <c r="H268" s="34" t="s">
        <v>246</v>
      </c>
      <c r="M268" s="55"/>
    </row>
    <row r="269" spans="4:13" ht="15">
      <c r="D269" s="52" t="s">
        <v>42</v>
      </c>
      <c r="E269" s="52"/>
      <c r="F269" s="137">
        <v>2</v>
      </c>
      <c r="H269" s="34" t="s">
        <v>59</v>
      </c>
      <c r="M269" s="55"/>
    </row>
    <row r="270" spans="4:13" ht="15">
      <c r="D270" s="52" t="s">
        <v>35</v>
      </c>
      <c r="E270" s="52"/>
      <c r="F270" s="191">
        <f>Input!D97</f>
        <v>4</v>
      </c>
      <c r="H270" s="34" t="s">
        <v>168</v>
      </c>
      <c r="M270" s="55"/>
    </row>
    <row r="271" spans="4:13" ht="15">
      <c r="D271" s="69" t="s">
        <v>42</v>
      </c>
      <c r="E271" s="56"/>
      <c r="F271" s="186">
        <f>Input!D13</f>
        <v>100</v>
      </c>
      <c r="G271" s="57"/>
      <c r="H271" s="57" t="s">
        <v>219</v>
      </c>
      <c r="I271" s="57"/>
      <c r="J271" s="57"/>
      <c r="K271" s="57"/>
      <c r="L271" s="57"/>
      <c r="M271" s="55"/>
    </row>
    <row r="272" spans="4:13" ht="15.75">
      <c r="D272" s="58" t="s">
        <v>36</v>
      </c>
      <c r="E272" s="58"/>
      <c r="F272" s="182">
        <f>ROUND((F267+F268)/F269*(F270)/F271,2)/100</f>
        <v>8.8</v>
      </c>
      <c r="G272" s="53"/>
      <c r="H272" s="53" t="s">
        <v>37</v>
      </c>
      <c r="I272" s="53"/>
      <c r="J272" s="53"/>
      <c r="K272" s="53"/>
      <c r="L272" s="53"/>
      <c r="M272" s="55"/>
    </row>
    <row r="273" spans="4:5" ht="15">
      <c r="D273" s="52"/>
      <c r="E273" s="52"/>
    </row>
    <row r="274" spans="2:5" ht="15.75">
      <c r="B274" s="53" t="s">
        <v>173</v>
      </c>
      <c r="D274" s="52"/>
      <c r="E274" s="52"/>
    </row>
    <row r="275" spans="4:13" ht="15">
      <c r="D275" s="52"/>
      <c r="E275" s="52"/>
      <c r="F275" s="193">
        <f>Input!E131</f>
        <v>8</v>
      </c>
      <c r="H275" s="34" t="s">
        <v>247</v>
      </c>
      <c r="M275" s="55"/>
    </row>
    <row r="276" spans="4:13" ht="15">
      <c r="D276" s="69" t="s">
        <v>42</v>
      </c>
      <c r="E276" s="56"/>
      <c r="F276" s="181">
        <f>Input!E132</f>
        <v>10</v>
      </c>
      <c r="G276" s="57"/>
      <c r="H276" s="57" t="s">
        <v>60</v>
      </c>
      <c r="I276" s="57"/>
      <c r="J276" s="57"/>
      <c r="K276" s="57"/>
      <c r="L276" s="57"/>
      <c r="M276" s="55"/>
    </row>
    <row r="277" spans="4:13" ht="15.75">
      <c r="D277" s="58" t="s">
        <v>36</v>
      </c>
      <c r="E277" s="58"/>
      <c r="F277" s="182">
        <f>ROUND(F275*F276,2)</f>
        <v>80</v>
      </c>
      <c r="G277" s="53"/>
      <c r="H277" s="53" t="s">
        <v>37</v>
      </c>
      <c r="I277" s="53"/>
      <c r="J277" s="53"/>
      <c r="K277" s="53"/>
      <c r="L277" s="53"/>
      <c r="M277" s="55"/>
    </row>
  </sheetData>
  <sheetProtection password="C7C6" sheet="1" objects="1" scenarios="1"/>
  <mergeCells count="12">
    <mergeCell ref="B11:M11"/>
    <mergeCell ref="K30:L30"/>
    <mergeCell ref="B2:M2"/>
    <mergeCell ref="B4:M5"/>
    <mergeCell ref="B7:M7"/>
    <mergeCell ref="B9:M10"/>
    <mergeCell ref="C203:M205"/>
    <mergeCell ref="N29:O29"/>
    <mergeCell ref="N30:O30"/>
    <mergeCell ref="B28:O28"/>
    <mergeCell ref="B201:M201"/>
    <mergeCell ref="B40:M43"/>
  </mergeCells>
  <printOptions/>
  <pageMargins left="0.75" right="0.75" top="1" bottom="1" header="0.5" footer="0.5"/>
  <pageSetup firstPageNumber="3" useFirstPageNumber="1" fitToHeight="5" horizontalDpi="180" verticalDpi="180" orientation="portrait" scale="87" r:id="rId1"/>
  <headerFooter alignWithMargins="0">
    <oddHeader>&amp;L&amp;9Guidelines: Raising Dairy Steers&amp;R&amp;P</oddHeader>
    <oddFooter>&amp;R&amp;9Manitoba Agriculture and Food
&amp;"Arial,Italic"Farm Management</oddFooter>
  </headerFooter>
  <rowBreaks count="6" manualBreakCount="6">
    <brk id="43" max="12" man="1"/>
    <brk id="82" max="12" man="1"/>
    <brk id="120" max="12" man="1"/>
    <brk id="166" max="12" man="1"/>
    <brk id="200" max="12" man="1"/>
    <brk id="242" max="12" man="1"/>
  </rowBreaks>
</worksheet>
</file>

<file path=xl/worksheets/sheet5.xml><?xml version="1.0" encoding="utf-8"?>
<worksheet xmlns="http://schemas.openxmlformats.org/spreadsheetml/2006/main" xmlns:r="http://schemas.openxmlformats.org/officeDocument/2006/relationships">
  <sheetPr codeName="Sheet5"/>
  <dimension ref="A2:J45"/>
  <sheetViews>
    <sheetView showGridLines="0" workbookViewId="0" topLeftCell="A1">
      <selection activeCell="A1" sqref="A1"/>
    </sheetView>
  </sheetViews>
  <sheetFormatPr defaultColWidth="8.88671875" defaultRowHeight="15"/>
  <cols>
    <col min="5" max="5" width="3.10546875" style="0" customWidth="1"/>
    <col min="6" max="6" width="9.6640625" style="0" customWidth="1"/>
    <col min="7" max="7" width="1.77734375" style="0" customWidth="1"/>
  </cols>
  <sheetData>
    <row r="2" spans="1:10" ht="18">
      <c r="A2" s="216" t="s">
        <v>88</v>
      </c>
      <c r="B2" s="216"/>
      <c r="C2" s="216"/>
      <c r="D2" s="216"/>
      <c r="E2" s="216"/>
      <c r="F2" s="216"/>
      <c r="G2" s="216"/>
      <c r="H2" s="216"/>
      <c r="I2" s="216"/>
      <c r="J2" s="216"/>
    </row>
    <row r="4" ht="15.75">
      <c r="A4" s="2" t="s">
        <v>93</v>
      </c>
    </row>
    <row r="5" spans="1:8" ht="15.75">
      <c r="A5" s="2"/>
      <c r="B5" s="2" t="s">
        <v>90</v>
      </c>
      <c r="F5" s="5">
        <f>Summary!F13</f>
        <v>203.96999999999997</v>
      </c>
      <c r="H5" t="s">
        <v>89</v>
      </c>
    </row>
    <row r="6" spans="5:8" ht="15">
      <c r="E6" s="7" t="s">
        <v>42</v>
      </c>
      <c r="F6" s="65">
        <f>ROUND((Input!$D$21-(Input!$D$21*Input!$D$22/100))-(Input!$D$15-(Input!$D$15*Input!$D$16/100)),0)</f>
        <v>409</v>
      </c>
      <c r="G6" s="6"/>
      <c r="H6" s="7" t="s">
        <v>152</v>
      </c>
    </row>
    <row r="7" spans="5:9" ht="15.75">
      <c r="E7" s="9" t="s">
        <v>36</v>
      </c>
      <c r="F7" s="70">
        <f>F5/F6</f>
        <v>0.4987041564792175</v>
      </c>
      <c r="G7" s="10"/>
      <c r="H7" s="2" t="s">
        <v>91</v>
      </c>
      <c r="I7" s="2"/>
    </row>
    <row r="8" spans="6:7" ht="15">
      <c r="F8" s="4"/>
      <c r="G8" s="4"/>
    </row>
    <row r="9" spans="2:8" ht="15.75">
      <c r="B9" s="2" t="s">
        <v>33</v>
      </c>
      <c r="F9" s="72">
        <f>Summary!F28</f>
        <v>499.41520109589044</v>
      </c>
      <c r="G9" s="1"/>
      <c r="H9" t="s">
        <v>92</v>
      </c>
    </row>
    <row r="10" spans="5:8" ht="15">
      <c r="E10" s="8" t="s">
        <v>6</v>
      </c>
      <c r="F10" s="72">
        <f>Details!$F$96</f>
        <v>200</v>
      </c>
      <c r="G10" s="1"/>
      <c r="H10" t="s">
        <v>56</v>
      </c>
    </row>
    <row r="11" spans="5:8" ht="15">
      <c r="E11" s="7" t="s">
        <v>42</v>
      </c>
      <c r="F11" s="65">
        <f>ROUND((Input!$D$21-(Input!$D$21*Input!$D$22/100))-(Input!$D$15-(Input!$D$15*Input!$D$16/100)),0)</f>
        <v>409</v>
      </c>
      <c r="G11" s="1"/>
      <c r="H11" s="7" t="s">
        <v>152</v>
      </c>
    </row>
    <row r="12" spans="5:8" ht="15.75">
      <c r="E12" s="9" t="s">
        <v>36</v>
      </c>
      <c r="F12" s="70">
        <f>(F9-F10)/F11</f>
        <v>0.7320665063469204</v>
      </c>
      <c r="G12" s="1"/>
      <c r="H12" s="2" t="s">
        <v>91</v>
      </c>
    </row>
    <row r="13" spans="6:7" ht="15">
      <c r="F13" s="1"/>
      <c r="G13" s="1"/>
    </row>
    <row r="14" spans="2:8" ht="15.75">
      <c r="B14" s="2" t="s">
        <v>32</v>
      </c>
      <c r="F14" s="72">
        <f>Summary!F39</f>
        <v>562.5502010958904</v>
      </c>
      <c r="G14" s="1"/>
      <c r="H14" t="s">
        <v>94</v>
      </c>
    </row>
    <row r="15" spans="2:8" ht="15.75">
      <c r="B15" s="2"/>
      <c r="E15" s="8" t="s">
        <v>6</v>
      </c>
      <c r="F15" s="72">
        <f>Details!$F$96</f>
        <v>200</v>
      </c>
      <c r="G15" s="1"/>
      <c r="H15" t="s">
        <v>56</v>
      </c>
    </row>
    <row r="16" spans="2:8" ht="15.75">
      <c r="B16" s="2"/>
      <c r="E16" s="7" t="s">
        <v>42</v>
      </c>
      <c r="F16" s="65">
        <f>ROUND((Input!$D$21-(Input!$D$21*Input!$D$22/100))-(Input!$D$15-(Input!$D$15*Input!$D$16/100)),0)</f>
        <v>409</v>
      </c>
      <c r="G16" s="1"/>
      <c r="H16" s="7" t="s">
        <v>152</v>
      </c>
    </row>
    <row r="17" spans="2:8" ht="15.75">
      <c r="B17" s="2"/>
      <c r="E17" s="9" t="s">
        <v>36</v>
      </c>
      <c r="F17" s="70">
        <f>(F14-F15)/F16</f>
        <v>0.8864308095254044</v>
      </c>
      <c r="G17" s="1"/>
      <c r="H17" s="2" t="s">
        <v>91</v>
      </c>
    </row>
    <row r="18" spans="2:7" ht="15.75">
      <c r="B18" s="2"/>
      <c r="F18" s="1"/>
      <c r="G18" s="1"/>
    </row>
    <row r="19" spans="2:8" ht="15.75">
      <c r="B19" s="2" t="s">
        <v>34</v>
      </c>
      <c r="F19" s="72">
        <f>Summary!F43</f>
        <v>642.5502010958904</v>
      </c>
      <c r="G19" s="1"/>
      <c r="H19" t="s">
        <v>226</v>
      </c>
    </row>
    <row r="20" spans="2:8" ht="15.75">
      <c r="B20" s="2"/>
      <c r="E20" s="8" t="s">
        <v>6</v>
      </c>
      <c r="F20" s="72">
        <f>Details!$F$96</f>
        <v>200</v>
      </c>
      <c r="G20" s="1"/>
      <c r="H20" t="s">
        <v>56</v>
      </c>
    </row>
    <row r="21" spans="2:8" ht="15.75">
      <c r="B21" s="2"/>
      <c r="E21" s="7" t="s">
        <v>42</v>
      </c>
      <c r="F21" s="65">
        <f>ROUND((Input!$D$21-(Input!$D$21*Input!$D$22/100))-(Input!$D$15-(Input!$D$15*Input!$D$16/100)),0)</f>
        <v>409</v>
      </c>
      <c r="G21" s="1"/>
      <c r="H21" s="7" t="s">
        <v>152</v>
      </c>
    </row>
    <row r="22" spans="2:8" ht="15.75">
      <c r="B22" s="2"/>
      <c r="E22" s="9" t="s">
        <v>36</v>
      </c>
      <c r="F22" s="70">
        <f>(F19-F20)/F21</f>
        <v>1.0820298315302945</v>
      </c>
      <c r="G22" s="1"/>
      <c r="H22" s="2" t="s">
        <v>91</v>
      </c>
    </row>
    <row r="23" ht="15.75">
      <c r="A23" s="2" t="s">
        <v>95</v>
      </c>
    </row>
    <row r="24" spans="2:8" ht="15.75">
      <c r="B24" s="2" t="s">
        <v>33</v>
      </c>
      <c r="F24" s="72">
        <f>Summary!F28</f>
        <v>499.41520109589044</v>
      </c>
      <c r="G24" s="1"/>
      <c r="H24" t="s">
        <v>92</v>
      </c>
    </row>
    <row r="25" spans="5:9" ht="15">
      <c r="E25" s="7" t="s">
        <v>42</v>
      </c>
      <c r="F25" s="65">
        <f>Input!$D$21-(Input!$D$21*Input!$D$22/100)</f>
        <v>503.5</v>
      </c>
      <c r="G25" s="12"/>
      <c r="H25" s="7" t="s">
        <v>96</v>
      </c>
      <c r="I25" s="7"/>
    </row>
    <row r="26" spans="5:8" ht="15.75">
      <c r="E26" s="9" t="s">
        <v>36</v>
      </c>
      <c r="F26" s="70">
        <f>F24/F25</f>
        <v>0.991887191848839</v>
      </c>
      <c r="G26" s="1"/>
      <c r="H26" s="2" t="s">
        <v>97</v>
      </c>
    </row>
    <row r="28" spans="2:8" ht="15.75">
      <c r="B28" s="2" t="s">
        <v>32</v>
      </c>
      <c r="F28" s="72">
        <f>Summary!F39</f>
        <v>562.5502010958904</v>
      </c>
      <c r="H28" t="s">
        <v>227</v>
      </c>
    </row>
    <row r="29" spans="5:8" ht="15">
      <c r="E29" s="7" t="s">
        <v>42</v>
      </c>
      <c r="F29" s="65">
        <f>Input!$D$21-(Input!$D$21*Input!$D$22/100)</f>
        <v>503.5</v>
      </c>
      <c r="H29" s="7" t="s">
        <v>96</v>
      </c>
    </row>
    <row r="30" spans="5:8" ht="15.75">
      <c r="E30" s="9" t="s">
        <v>36</v>
      </c>
      <c r="F30" s="70">
        <f>F28/F29</f>
        <v>1.1172794460692959</v>
      </c>
      <c r="H30" s="2" t="s">
        <v>97</v>
      </c>
    </row>
    <row r="32" spans="2:8" ht="15.75">
      <c r="B32" s="2" t="s">
        <v>34</v>
      </c>
      <c r="F32" s="72">
        <f>Summary!F43</f>
        <v>642.5502010958904</v>
      </c>
      <c r="H32" t="s">
        <v>226</v>
      </c>
    </row>
    <row r="33" spans="5:8" ht="15">
      <c r="E33" s="7" t="s">
        <v>42</v>
      </c>
      <c r="F33" s="65">
        <f>Input!$D$21-(Input!$D$21*Input!$D$22/100)</f>
        <v>503.5</v>
      </c>
      <c r="H33" s="7" t="s">
        <v>96</v>
      </c>
    </row>
    <row r="34" spans="5:8" ht="15.75">
      <c r="E34" s="9" t="s">
        <v>36</v>
      </c>
      <c r="F34" s="70">
        <f>F32/F33</f>
        <v>1.2761672315707853</v>
      </c>
      <c r="H34" s="2" t="s">
        <v>97</v>
      </c>
    </row>
    <row r="35" spans="1:9" ht="15.75">
      <c r="A35" s="3"/>
      <c r="B35" s="3"/>
      <c r="C35" s="3"/>
      <c r="D35" s="3"/>
      <c r="E35" s="13"/>
      <c r="F35" s="14"/>
      <c r="G35" s="3"/>
      <c r="H35" s="15"/>
      <c r="I35" s="3"/>
    </row>
    <row r="36" ht="15.75">
      <c r="A36" s="2" t="s">
        <v>132</v>
      </c>
    </row>
    <row r="37" ht="15">
      <c r="A37" t="s">
        <v>102</v>
      </c>
    </row>
    <row r="38" spans="1:7" ht="15">
      <c r="A38" t="s">
        <v>188</v>
      </c>
      <c r="D38" t="s">
        <v>189</v>
      </c>
      <c r="G38" t="s">
        <v>303</v>
      </c>
    </row>
    <row r="39" spans="1:7" ht="15">
      <c r="A39" t="s">
        <v>103</v>
      </c>
      <c r="D39" t="s">
        <v>103</v>
      </c>
      <c r="G39" t="s">
        <v>265</v>
      </c>
    </row>
    <row r="41" spans="1:7" ht="15">
      <c r="A41" t="s">
        <v>191</v>
      </c>
      <c r="D41" t="s">
        <v>192</v>
      </c>
      <c r="G41" t="s">
        <v>193</v>
      </c>
    </row>
    <row r="42" spans="1:7" ht="15">
      <c r="A42" t="s">
        <v>169</v>
      </c>
      <c r="D42" t="s">
        <v>190</v>
      </c>
      <c r="G42" t="s">
        <v>104</v>
      </c>
    </row>
    <row r="44" spans="1:4" ht="15">
      <c r="A44" t="s">
        <v>264</v>
      </c>
      <c r="D44" t="s">
        <v>266</v>
      </c>
    </row>
    <row r="45" spans="1:4" ht="15">
      <c r="A45" t="s">
        <v>104</v>
      </c>
      <c r="D45" t="s">
        <v>263</v>
      </c>
    </row>
  </sheetData>
  <sheetProtection password="C7C6" sheet="1" objects="1" scenarios="1"/>
  <mergeCells count="1">
    <mergeCell ref="A2:J2"/>
  </mergeCells>
  <printOptions/>
  <pageMargins left="0.75" right="0.75" top="1" bottom="1" header="0.5" footer="0.5"/>
  <pageSetup firstPageNumber="10" useFirstPageNumber="1" horizontalDpi="180" verticalDpi="180" orientation="portrait" scale="87" r:id="rId1"/>
  <headerFooter alignWithMargins="0">
    <oddHeader>&amp;L&amp;9Guidelines: Raising Dairy Steers&amp;R&amp;P</oddHeader>
    <oddFooter>&amp;R&amp;9Manitoba Agriculture and Food
&amp;"Arial,Italic"Farm Management</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2:I25"/>
  <sheetViews>
    <sheetView showGridLines="0" workbookViewId="0" topLeftCell="A1">
      <selection activeCell="A1" sqref="A1"/>
    </sheetView>
  </sheetViews>
  <sheetFormatPr defaultColWidth="8.88671875" defaultRowHeight="15"/>
  <sheetData>
    <row r="1" ht="15.75" customHeight="1"/>
    <row r="2" spans="1:9" ht="22.5" customHeight="1">
      <c r="A2" s="120"/>
      <c r="B2" s="217" t="s">
        <v>317</v>
      </c>
      <c r="C2" s="217"/>
      <c r="D2" s="217"/>
      <c r="E2" s="217"/>
      <c r="F2" s="217"/>
      <c r="G2" s="217"/>
      <c r="H2" s="217"/>
      <c r="I2" s="217"/>
    </row>
    <row r="4" spans="3:8" ht="15">
      <c r="C4" s="119"/>
      <c r="D4" s="119"/>
      <c r="E4" s="119"/>
      <c r="F4" s="119"/>
      <c r="G4" s="119"/>
      <c r="H4" s="119"/>
    </row>
    <row r="5" spans="3:8" ht="15">
      <c r="C5" s="119"/>
      <c r="D5" s="119"/>
      <c r="E5" s="119"/>
      <c r="F5" s="119"/>
      <c r="G5" s="119"/>
      <c r="H5" s="119"/>
    </row>
    <row r="6" spans="3:8" ht="15">
      <c r="C6" s="119"/>
      <c r="D6" s="119"/>
      <c r="E6" s="119"/>
      <c r="F6" s="119"/>
      <c r="G6" s="119"/>
      <c r="H6" s="119"/>
    </row>
    <row r="7" spans="3:9" ht="15">
      <c r="C7" s="119"/>
      <c r="D7" s="119"/>
      <c r="E7" s="119"/>
      <c r="F7" s="119"/>
      <c r="G7" s="119"/>
      <c r="H7" s="119"/>
      <c r="I7" s="119"/>
    </row>
    <row r="8" spans="3:9" ht="15">
      <c r="C8" s="119"/>
      <c r="D8" s="119"/>
      <c r="E8" s="119"/>
      <c r="F8" s="119"/>
      <c r="G8" s="119"/>
      <c r="H8" s="119"/>
      <c r="I8" s="119"/>
    </row>
    <row r="9" spans="2:9" ht="15">
      <c r="B9" s="119"/>
      <c r="C9" s="119"/>
      <c r="D9" s="119"/>
      <c r="E9" s="119"/>
      <c r="F9" s="119"/>
      <c r="G9" s="119"/>
      <c r="H9" s="119"/>
      <c r="I9" s="119"/>
    </row>
    <row r="10" spans="2:9" ht="15">
      <c r="B10" s="119"/>
      <c r="C10" s="119"/>
      <c r="D10" s="119"/>
      <c r="E10" s="119"/>
      <c r="F10" s="119"/>
      <c r="G10" s="119"/>
      <c r="H10" s="119"/>
      <c r="I10" s="119"/>
    </row>
    <row r="11" spans="2:9" ht="15">
      <c r="B11" s="119"/>
      <c r="C11" s="119"/>
      <c r="D11" s="119"/>
      <c r="E11" s="119"/>
      <c r="F11" s="119"/>
      <c r="G11" s="119"/>
      <c r="H11" s="119"/>
      <c r="I11" s="119"/>
    </row>
    <row r="12" spans="2:9" ht="15">
      <c r="B12" s="119"/>
      <c r="C12" s="119"/>
      <c r="D12" s="119"/>
      <c r="E12" s="119"/>
      <c r="F12" s="119"/>
      <c r="G12" s="119"/>
      <c r="H12" s="119"/>
      <c r="I12" s="119"/>
    </row>
    <row r="13" spans="3:9" ht="15">
      <c r="C13" s="119"/>
      <c r="D13" s="119"/>
      <c r="E13" s="119"/>
      <c r="F13" s="119"/>
      <c r="G13" s="119"/>
      <c r="H13" s="119"/>
      <c r="I13" s="119"/>
    </row>
    <row r="14" spans="3:9" ht="15">
      <c r="C14" s="119"/>
      <c r="D14" s="119"/>
      <c r="E14" s="119"/>
      <c r="F14" s="119"/>
      <c r="G14" s="119"/>
      <c r="H14" s="119"/>
      <c r="I14" s="119"/>
    </row>
    <row r="15" spans="4:7" ht="15">
      <c r="D15" s="119"/>
      <c r="E15" s="119"/>
      <c r="F15" s="119"/>
      <c r="G15" s="119"/>
    </row>
    <row r="16" spans="4:7" ht="15">
      <c r="D16" s="119"/>
      <c r="E16" s="119"/>
      <c r="F16" s="119"/>
      <c r="G16" s="119"/>
    </row>
    <row r="17" spans="4:7" ht="15">
      <c r="D17" s="119"/>
      <c r="E17" s="119"/>
      <c r="F17" s="119"/>
      <c r="G17" s="119"/>
    </row>
    <row r="18" spans="4:7" ht="15">
      <c r="D18" s="119"/>
      <c r="E18" s="119"/>
      <c r="F18" s="119"/>
      <c r="G18" s="119"/>
    </row>
    <row r="19" spans="4:7" ht="15">
      <c r="D19" s="119"/>
      <c r="E19" s="119"/>
      <c r="F19" s="119"/>
      <c r="G19" s="119"/>
    </row>
    <row r="20" spans="4:7" ht="15">
      <c r="D20" s="119"/>
      <c r="E20" s="119"/>
      <c r="F20" s="119"/>
      <c r="G20" s="119"/>
    </row>
    <row r="21" spans="4:7" ht="15">
      <c r="D21" s="119"/>
      <c r="E21" s="119"/>
      <c r="F21" s="119"/>
      <c r="G21" s="119"/>
    </row>
    <row r="22" spans="4:7" ht="15">
      <c r="D22" s="119"/>
      <c r="E22" s="119"/>
      <c r="F22" s="119"/>
      <c r="G22" s="119"/>
    </row>
    <row r="23" spans="4:7" ht="15">
      <c r="D23" s="119"/>
      <c r="E23" s="119"/>
      <c r="F23" s="119"/>
      <c r="G23" s="119"/>
    </row>
    <row r="24" spans="4:7" ht="15">
      <c r="D24" s="119"/>
      <c r="E24" s="119"/>
      <c r="F24" s="119"/>
      <c r="G24" s="119"/>
    </row>
    <row r="25" spans="4:7" ht="15">
      <c r="D25" s="119"/>
      <c r="E25" s="119"/>
      <c r="F25" s="119"/>
      <c r="G25" s="119"/>
    </row>
  </sheetData>
  <sheetProtection password="C7C6" sheet="1" objects="1" scenarios="1"/>
  <mergeCells count="1">
    <mergeCell ref="B2:I2"/>
  </mergeCells>
  <printOptions horizontalCentered="1"/>
  <pageMargins left="0.1968503937007874" right="0.7480314960629921" top="0.984251968503937" bottom="0.984251968503937" header="0.5118110236220472" footer="0.5118110236220472"/>
  <pageSetup firstPageNumber="11" useFirstPageNumber="1" fitToHeight="1" fitToWidth="1" horizontalDpi="180" verticalDpi="180" orientation="portrait" scale="90" r:id="rId2"/>
  <headerFooter alignWithMargins="0">
    <oddHeader>&amp;L&amp;9Guidelines: Raising Dairy Steers&amp;R&amp;P</oddHeader>
    <oddFooter>&amp;R&amp;9Manitoba Agriculture and Food
&amp;"Arial,Italic"Farm Management</oddFooter>
  </headerFooter>
  <drawing r:id="rId1"/>
</worksheet>
</file>

<file path=xl/worksheets/sheet7.xml><?xml version="1.0" encoding="utf-8"?>
<worksheet xmlns="http://schemas.openxmlformats.org/spreadsheetml/2006/main" xmlns:r="http://schemas.openxmlformats.org/officeDocument/2006/relationships">
  <sheetPr codeName="Sheet61">
    <pageSetUpPr fitToPage="1"/>
  </sheetPr>
  <dimension ref="A2:I25"/>
  <sheetViews>
    <sheetView showGridLines="0" workbookViewId="0" topLeftCell="A1">
      <selection activeCell="A1" sqref="A1"/>
    </sheetView>
  </sheetViews>
  <sheetFormatPr defaultColWidth="8.88671875" defaultRowHeight="15"/>
  <sheetData>
    <row r="1" ht="15.75" customHeight="1"/>
    <row r="2" spans="1:9" ht="22.5" customHeight="1">
      <c r="A2" s="217" t="s">
        <v>304</v>
      </c>
      <c r="B2" s="218"/>
      <c r="C2" s="218"/>
      <c r="D2" s="218"/>
      <c r="E2" s="218"/>
      <c r="F2" s="218"/>
      <c r="G2" s="218"/>
      <c r="H2" s="218"/>
      <c r="I2" s="218"/>
    </row>
    <row r="4" spans="3:8" ht="15">
      <c r="C4" s="119"/>
      <c r="D4" s="119"/>
      <c r="E4" s="119"/>
      <c r="F4" s="119"/>
      <c r="G4" s="119"/>
      <c r="H4" s="119"/>
    </row>
    <row r="5" spans="3:8" ht="15">
      <c r="C5" s="119"/>
      <c r="D5" s="119"/>
      <c r="E5" s="119"/>
      <c r="F5" s="119"/>
      <c r="G5" s="119"/>
      <c r="H5" s="119"/>
    </row>
    <row r="6" spans="3:8" ht="15">
      <c r="C6" s="119"/>
      <c r="D6" s="119"/>
      <c r="E6" s="119"/>
      <c r="F6" s="119"/>
      <c r="G6" s="119"/>
      <c r="H6" s="119"/>
    </row>
    <row r="7" spans="3:9" ht="15">
      <c r="C7" s="119"/>
      <c r="D7" s="119"/>
      <c r="E7" s="119"/>
      <c r="F7" s="119"/>
      <c r="G7" s="119"/>
      <c r="H7" s="119"/>
      <c r="I7" s="119"/>
    </row>
    <row r="8" spans="3:9" ht="15">
      <c r="C8" s="119"/>
      <c r="D8" s="119"/>
      <c r="E8" s="119"/>
      <c r="F8" s="119"/>
      <c r="G8" s="119"/>
      <c r="H8" s="119"/>
      <c r="I8" s="119"/>
    </row>
    <row r="9" spans="2:9" ht="15">
      <c r="B9" s="119"/>
      <c r="C9" s="119"/>
      <c r="D9" s="119"/>
      <c r="E9" s="119"/>
      <c r="F9" s="119"/>
      <c r="G9" s="119"/>
      <c r="H9" s="119"/>
      <c r="I9" s="119"/>
    </row>
    <row r="10" spans="2:9" ht="15">
      <c r="B10" s="119"/>
      <c r="C10" s="119"/>
      <c r="D10" s="119"/>
      <c r="E10" s="119"/>
      <c r="F10" s="119"/>
      <c r="G10" s="119"/>
      <c r="H10" s="119"/>
      <c r="I10" s="119"/>
    </row>
    <row r="11" spans="2:9" ht="15">
      <c r="B11" s="119"/>
      <c r="C11" s="119"/>
      <c r="D11" s="119"/>
      <c r="E11" s="119"/>
      <c r="F11" s="119"/>
      <c r="G11" s="119"/>
      <c r="H11" s="119"/>
      <c r="I11" s="119"/>
    </row>
    <row r="12" spans="2:9" ht="15">
      <c r="B12" s="119"/>
      <c r="C12" s="119"/>
      <c r="D12" s="119"/>
      <c r="E12" s="119"/>
      <c r="F12" s="119"/>
      <c r="G12" s="119"/>
      <c r="H12" s="119"/>
      <c r="I12" s="119"/>
    </row>
    <row r="13" spans="3:9" ht="15">
      <c r="C13" s="119"/>
      <c r="D13" s="119"/>
      <c r="E13" s="119"/>
      <c r="F13" s="119"/>
      <c r="G13" s="119"/>
      <c r="H13" s="119"/>
      <c r="I13" s="119"/>
    </row>
    <row r="14" spans="3:9" ht="15">
      <c r="C14" s="119"/>
      <c r="D14" s="119"/>
      <c r="E14" s="119"/>
      <c r="F14" s="119"/>
      <c r="G14" s="119"/>
      <c r="H14" s="119"/>
      <c r="I14" s="119"/>
    </row>
    <row r="15" spans="4:7" ht="15">
      <c r="D15" s="119"/>
      <c r="E15" s="119"/>
      <c r="F15" s="119"/>
      <c r="G15" s="119"/>
    </row>
    <row r="16" spans="4:7" ht="15">
      <c r="D16" s="119"/>
      <c r="E16" s="119"/>
      <c r="F16" s="119"/>
      <c r="G16" s="119"/>
    </row>
    <row r="17" spans="4:7" ht="15">
      <c r="D17" s="119"/>
      <c r="E17" s="119"/>
      <c r="F17" s="119"/>
      <c r="G17" s="119"/>
    </row>
    <row r="18" spans="4:7" ht="15">
      <c r="D18" s="119"/>
      <c r="E18" s="119"/>
      <c r="F18" s="119"/>
      <c r="G18" s="119"/>
    </row>
    <row r="19" spans="4:7" ht="15">
      <c r="D19" s="119"/>
      <c r="E19" s="119"/>
      <c r="F19" s="119"/>
      <c r="G19" s="119"/>
    </row>
    <row r="20" spans="4:7" ht="15">
      <c r="D20" s="119"/>
      <c r="E20" s="119"/>
      <c r="F20" s="119"/>
      <c r="G20" s="119"/>
    </row>
    <row r="21" spans="4:7" ht="15">
      <c r="D21" s="119"/>
      <c r="E21" s="119"/>
      <c r="F21" s="119"/>
      <c r="G21" s="119"/>
    </row>
    <row r="22" spans="4:7" ht="15">
      <c r="D22" s="119"/>
      <c r="E22" s="119"/>
      <c r="F22" s="119"/>
      <c r="G22" s="119"/>
    </row>
    <row r="23" spans="4:7" ht="15">
      <c r="D23" s="119"/>
      <c r="E23" s="119"/>
      <c r="F23" s="119"/>
      <c r="G23" s="119"/>
    </row>
    <row r="24" spans="4:7" ht="15">
      <c r="D24" s="119"/>
      <c r="E24" s="119"/>
      <c r="F24" s="119"/>
      <c r="G24" s="119"/>
    </row>
    <row r="25" spans="4:7" ht="15">
      <c r="D25" s="119"/>
      <c r="E25" s="119"/>
      <c r="F25" s="119"/>
      <c r="G25" s="119"/>
    </row>
  </sheetData>
  <sheetProtection password="C7C6" sheet="1" objects="1" scenarios="1"/>
  <mergeCells count="1">
    <mergeCell ref="A2:I2"/>
  </mergeCells>
  <printOptions horizontalCentered="1"/>
  <pageMargins left="0.1968503937007874" right="0.7480314960629921" top="0.984251968503937" bottom="0.984251968503937" header="0.5118110236220472" footer="0.5118110236220472"/>
  <pageSetup firstPageNumber="12" useFirstPageNumber="1" fitToHeight="1" fitToWidth="1" horizontalDpi="180" verticalDpi="180" orientation="portrait" scale="90" r:id="rId2"/>
  <headerFooter alignWithMargins="0">
    <oddHeader>&amp;L&amp;9Guidelines: Raising Dairy Steers&amp;R&amp;P</oddHeader>
    <oddFooter>&amp;R&amp;9Manitoba Agriculture and Food
&amp;"Arial,Italic"Farm Management</oddFooter>
  </headerFooter>
  <drawing r:id="rId1"/>
</worksheet>
</file>

<file path=xl/worksheets/sheet8.xml><?xml version="1.0" encoding="utf-8"?>
<worksheet xmlns="http://schemas.openxmlformats.org/spreadsheetml/2006/main" xmlns:r="http://schemas.openxmlformats.org/officeDocument/2006/relationships">
  <sheetPr codeName="Sheet611">
    <pageSetUpPr fitToPage="1"/>
  </sheetPr>
  <dimension ref="A2:I25"/>
  <sheetViews>
    <sheetView showGridLines="0" workbookViewId="0" topLeftCell="A1">
      <selection activeCell="A1" sqref="A1"/>
    </sheetView>
  </sheetViews>
  <sheetFormatPr defaultColWidth="8.88671875" defaultRowHeight="15"/>
  <sheetData>
    <row r="1" ht="15.75" customHeight="1"/>
    <row r="2" spans="1:9" ht="22.5" customHeight="1">
      <c r="A2" s="120"/>
      <c r="B2" s="217" t="s">
        <v>318</v>
      </c>
      <c r="C2" s="217"/>
      <c r="D2" s="217"/>
      <c r="E2" s="217"/>
      <c r="F2" s="217"/>
      <c r="G2" s="217"/>
      <c r="H2" s="217"/>
      <c r="I2" s="217"/>
    </row>
    <row r="4" spans="3:8" ht="15">
      <c r="C4" s="119"/>
      <c r="D4" s="119"/>
      <c r="E4" s="119"/>
      <c r="F4" s="119"/>
      <c r="G4" s="119"/>
      <c r="H4" s="119"/>
    </row>
    <row r="5" spans="3:8" ht="15">
      <c r="C5" s="119"/>
      <c r="D5" s="119"/>
      <c r="E5" s="119"/>
      <c r="F5" s="119"/>
      <c r="G5" s="119"/>
      <c r="H5" s="119"/>
    </row>
    <row r="6" spans="3:8" ht="15">
      <c r="C6" s="119"/>
      <c r="D6" s="119"/>
      <c r="E6" s="119"/>
      <c r="F6" s="119"/>
      <c r="G6" s="119"/>
      <c r="H6" s="119"/>
    </row>
    <row r="7" spans="3:9" ht="15">
      <c r="C7" s="119"/>
      <c r="D7" s="119"/>
      <c r="E7" s="119"/>
      <c r="F7" s="119"/>
      <c r="G7" s="119"/>
      <c r="H7" s="119"/>
      <c r="I7" s="119"/>
    </row>
    <row r="8" spans="3:9" ht="15">
      <c r="C8" s="119"/>
      <c r="D8" s="119"/>
      <c r="E8" s="119"/>
      <c r="F8" s="119"/>
      <c r="G8" s="119"/>
      <c r="H8" s="119"/>
      <c r="I8" s="119"/>
    </row>
    <row r="9" spans="2:9" ht="15">
      <c r="B9" s="119"/>
      <c r="C9" s="119"/>
      <c r="D9" s="119"/>
      <c r="E9" s="119"/>
      <c r="F9" s="119"/>
      <c r="G9" s="119"/>
      <c r="H9" s="119"/>
      <c r="I9" s="119"/>
    </row>
    <row r="10" spans="2:9" ht="15">
      <c r="B10" s="119"/>
      <c r="C10" s="119"/>
      <c r="D10" s="119"/>
      <c r="E10" s="119"/>
      <c r="F10" s="119"/>
      <c r="G10" s="119"/>
      <c r="H10" s="119"/>
      <c r="I10" s="119"/>
    </row>
    <row r="11" spans="2:9" ht="15">
      <c r="B11" s="119"/>
      <c r="C11" s="119"/>
      <c r="D11" s="119"/>
      <c r="E11" s="119"/>
      <c r="F11" s="119"/>
      <c r="G11" s="119"/>
      <c r="H11" s="119"/>
      <c r="I11" s="119"/>
    </row>
    <row r="12" spans="2:9" ht="15">
      <c r="B12" s="119"/>
      <c r="C12" s="119"/>
      <c r="D12" s="119"/>
      <c r="E12" s="119"/>
      <c r="F12" s="119"/>
      <c r="G12" s="119"/>
      <c r="H12" s="119"/>
      <c r="I12" s="119"/>
    </row>
    <row r="13" spans="3:9" ht="15">
      <c r="C13" s="119"/>
      <c r="D13" s="119"/>
      <c r="E13" s="119"/>
      <c r="F13" s="119"/>
      <c r="G13" s="119"/>
      <c r="H13" s="119"/>
      <c r="I13" s="119"/>
    </row>
    <row r="14" spans="3:9" ht="15">
      <c r="C14" s="119"/>
      <c r="D14" s="119"/>
      <c r="E14" s="119"/>
      <c r="F14" s="119"/>
      <c r="G14" s="119"/>
      <c r="H14" s="119"/>
      <c r="I14" s="119"/>
    </row>
    <row r="15" spans="4:7" ht="15">
      <c r="D15" s="119"/>
      <c r="E15" s="119"/>
      <c r="F15" s="119"/>
      <c r="G15" s="119"/>
    </row>
    <row r="16" spans="4:7" ht="15">
      <c r="D16" s="119"/>
      <c r="E16" s="119"/>
      <c r="F16" s="119"/>
      <c r="G16" s="119"/>
    </row>
    <row r="17" spans="4:7" ht="15">
      <c r="D17" s="119"/>
      <c r="E17" s="119"/>
      <c r="F17" s="119"/>
      <c r="G17" s="119"/>
    </row>
    <row r="18" spans="4:7" ht="15">
      <c r="D18" s="119"/>
      <c r="E18" s="119"/>
      <c r="F18" s="119"/>
      <c r="G18" s="119"/>
    </row>
    <row r="19" spans="4:7" ht="15">
      <c r="D19" s="119"/>
      <c r="E19" s="119"/>
      <c r="F19" s="119"/>
      <c r="G19" s="119"/>
    </row>
    <row r="20" spans="4:7" ht="15">
      <c r="D20" s="119"/>
      <c r="E20" s="119"/>
      <c r="F20" s="119"/>
      <c r="G20" s="119"/>
    </row>
    <row r="21" spans="4:7" ht="15">
      <c r="D21" s="119"/>
      <c r="E21" s="119"/>
      <c r="F21" s="119"/>
      <c r="G21" s="119"/>
    </row>
    <row r="22" spans="4:7" ht="15">
      <c r="D22" s="119"/>
      <c r="E22" s="119"/>
      <c r="F22" s="119"/>
      <c r="G22" s="119"/>
    </row>
    <row r="23" spans="4:7" ht="15">
      <c r="D23" s="119"/>
      <c r="E23" s="119"/>
      <c r="F23" s="119"/>
      <c r="G23" s="119"/>
    </row>
    <row r="24" spans="4:7" ht="15">
      <c r="D24" s="119"/>
      <c r="E24" s="119"/>
      <c r="F24" s="119"/>
      <c r="G24" s="119"/>
    </row>
    <row r="25" spans="4:7" ht="15">
      <c r="D25" s="119"/>
      <c r="E25" s="119"/>
      <c r="F25" s="119"/>
      <c r="G25" s="119"/>
    </row>
  </sheetData>
  <sheetProtection password="C7C6" sheet="1" objects="1" scenarios="1"/>
  <mergeCells count="1">
    <mergeCell ref="B2:I2"/>
  </mergeCells>
  <printOptions horizontalCentered="1"/>
  <pageMargins left="0.1968503937007874" right="0.7480314960629921" top="0.984251968503937" bottom="0.984251968503937" header="0.5118110236220472" footer="0.5118110236220472"/>
  <pageSetup firstPageNumber="13" useFirstPageNumber="1" fitToHeight="1" fitToWidth="1" horizontalDpi="180" verticalDpi="180" orientation="portrait" scale="90" r:id="rId2"/>
  <headerFooter alignWithMargins="0">
    <oddHeader>&amp;L&amp;9Guidelines: Raising Dairy Steers&amp;R&amp;P</oddHeader>
    <oddFooter>&amp;R&amp;9Manitoba Agriculture and Food
&amp;"Arial,Italic"Farm Management</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Peter Blawat, P.Ag.</Manager>
  <Company>Manitoba Agriculture and Food (MAF)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Guidelines for Estimating Cost of Raising Dairy Steers</dc:title>
  <dc:subject>Dairy Steer Feeder Production Costs</dc:subject>
  <dc:creator>MAF Staff</dc:creator>
  <cp:keywords>Dairy, Steer, Feeder, Economics, Cost of Production</cp:keywords>
  <dc:description>A worksheet for calculating on-farm production costs on individual farms.</dc:description>
  <cp:lastModifiedBy>JGessner</cp:lastModifiedBy>
  <cp:lastPrinted>2002-06-21T20:35:51Z</cp:lastPrinted>
  <dcterms:created xsi:type="dcterms:W3CDTF">1999-08-16T14:27:21Z</dcterms:created>
  <dcterms:modified xsi:type="dcterms:W3CDTF">2008-07-11T13:02:08Z</dcterms:modified>
  <cp:category>Dairy Steer Feeder Production Costs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TemplateU">
    <vt:lpwstr/>
  </property>
  <property fmtid="{D5CDD505-2E9C-101B-9397-08002B2CF9AE}" pid="5" name="xd_Prog">
    <vt:lpwstr/>
  </property>
  <property fmtid="{D5CDD505-2E9C-101B-9397-08002B2CF9AE}" pid="6" name="PublishingStartDa">
    <vt:lpwstr/>
  </property>
  <property fmtid="{D5CDD505-2E9C-101B-9397-08002B2CF9AE}" pid="7" name="PublishingExpirationDa">
    <vt:lpwstr/>
  </property>
  <property fmtid="{D5CDD505-2E9C-101B-9397-08002B2CF9AE}" pid="8" name="ContentType">
    <vt:lpwstr>0x010100ACAADE3355E29C4E95B09CD45679A285</vt:lpwstr>
  </property>
  <property fmtid="{D5CDD505-2E9C-101B-9397-08002B2CF9AE}" pid="9" name="_SourceU">
    <vt:lpwstr/>
  </property>
  <property fmtid="{D5CDD505-2E9C-101B-9397-08002B2CF9AE}" pid="10" name="_SharedFileInd">
    <vt:lpwstr/>
  </property>
</Properties>
</file>